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aog\OneDrive\Documents\2024-2025\Prefeitura\SECRETARIA DE OBRAS\"/>
    </mc:Choice>
  </mc:AlternateContent>
  <xr:revisionPtr revIDLastSave="0" documentId="13_ncr:1_{58597528-DAC3-4294-994D-B3F54146BBAA}" xr6:coauthVersionLast="47" xr6:coauthVersionMax="47" xr10:uidLastSave="{00000000-0000-0000-0000-000000000000}"/>
  <bookViews>
    <workbookView xWindow="-110" yWindow="-110" windowWidth="25820" windowHeight="15500" firstSheet="1" activeTab="1" xr2:uid="{00000000-000D-0000-FFFF-FFFF00000000}"/>
  </bookViews>
  <sheets>
    <sheet name="DESCRIÇÃO" sheetId="1" state="hidden" r:id="rId1"/>
    <sheet name="DESCRIÇÃO DE ORÇAMENTO" sheetId="18" r:id="rId2"/>
    <sheet name="PLANILHA" sheetId="2" state="hidden" r:id="rId3"/>
    <sheet name="PLANILHA ORÇAMENTÁRIA" sheetId="15" r:id="rId4"/>
    <sheet name="COMPOSIÇÕES" sheetId="21" state="hidden" r:id="rId5"/>
    <sheet name="CRONOGRAMA" sheetId="5" state="hidden" r:id="rId6"/>
    <sheet name="MEM. CÁLCULO" sheetId="25" state="hidden" r:id="rId7"/>
    <sheet name="COMPOSIÇÕES E COTAÇÕES" sheetId="24" r:id="rId8"/>
    <sheet name="CAL VOL. REDE COL." sheetId="9" state="hidden" r:id="rId9"/>
    <sheet name="CÁLCULO DE VOL E ESC REDE PRIN." sheetId="10" state="hidden" r:id="rId10"/>
    <sheet name="CALC. DIMEN." sheetId="19" state="hidden" r:id="rId11"/>
    <sheet name="CAL VERIFICAÇÕES" sheetId="14" state="hidden" r:id="rId12"/>
    <sheet name="CALC. VOL PV" sheetId="11" state="hidden" r:id="rId13"/>
    <sheet name="CALC. VOL BL" sheetId="12" state="hidden" r:id="rId14"/>
    <sheet name="CALC. TRANSPORTES" sheetId="13" state="hidden" r:id="rId15"/>
    <sheet name="CALC. TRANSPORTES (2)" sheetId="22" state="hidden" r:id="rId16"/>
    <sheet name="BDI" sheetId="6" r:id="rId17"/>
    <sheet name="CRONOGRAMA FF" sheetId="17" r:id="rId18"/>
    <sheet name="PLANILHA ORÇAMENTÁRIA (2)" sheetId="27" r:id="rId19"/>
  </sheets>
  <externalReferences>
    <externalReference r:id="rId20"/>
    <externalReference r:id="rId21"/>
  </externalReferences>
  <definedNames>
    <definedName name="_xlnm.Print_Area" localSheetId="11">'CAL VERIFICAÇÕES'!$A$1:$R$33</definedName>
    <definedName name="_xlnm.Print_Area" localSheetId="10">'CALC. DIMEN.'!$A$1:$M$33</definedName>
    <definedName name="_xlnm.Print_Area" localSheetId="7">'COMPOSIÇÕES E COTAÇÕES'!$A$1:$G$154</definedName>
    <definedName name="_xlnm.Print_Area" localSheetId="17">'CRONOGRAMA FF'!$A$1:$Q$29</definedName>
    <definedName name="_xlnm.Print_Area" localSheetId="1">'DESCRIÇÃO DE ORÇAMENTO'!$A$1:$G$27</definedName>
    <definedName name="_xlnm.Print_Area" localSheetId="6">'MEM. CÁLCULO'!$A$1:$F$112</definedName>
    <definedName name="_xlnm.Print_Area" localSheetId="3">'PLANILHA ORÇAMENTÁRIA'!$A$1:$I$215</definedName>
    <definedName name="_xlnm.Print_Area" localSheetId="18">'PLANILHA ORÇAMENTÁRIA (2)'!$A$1:$J$215</definedName>
    <definedName name="_xlnm.Print_Titles" localSheetId="3">'PLANILHA ORÇAMENTÁRIA'!$5:$6</definedName>
    <definedName name="_xlnm.Print_Titles" localSheetId="18">'PLANILHA ORÇAMENTÁRIA (2)'!$5:$6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27" l="1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50" i="27"/>
  <c r="J191" i="27"/>
  <c r="J208" i="27"/>
  <c r="J22" i="27"/>
  <c r="F208" i="27"/>
  <c r="F54" i="27"/>
  <c r="F55" i="27" s="1"/>
  <c r="K52" i="27"/>
  <c r="K50" i="27"/>
  <c r="F22" i="27"/>
  <c r="G8" i="27"/>
  <c r="I4" i="27"/>
  <c r="H186" i="27" s="1"/>
  <c r="I186" i="27" s="1"/>
  <c r="B4" i="27"/>
  <c r="I149" i="15"/>
  <c r="I92" i="15"/>
  <c r="I71" i="15"/>
  <c r="I16" i="15"/>
  <c r="F208" i="15"/>
  <c r="I196" i="15"/>
  <c r="I68" i="15"/>
  <c r="H68" i="15"/>
  <c r="H59" i="27" l="1"/>
  <c r="I59" i="27" s="1"/>
  <c r="H36" i="27"/>
  <c r="I36" i="27" s="1"/>
  <c r="H8" i="27"/>
  <c r="I8" i="27" s="1"/>
  <c r="I7" i="27" s="1"/>
  <c r="H30" i="27"/>
  <c r="I30" i="27" s="1"/>
  <c r="H31" i="27"/>
  <c r="I31" i="27" s="1"/>
  <c r="H37" i="27"/>
  <c r="I37" i="27" s="1"/>
  <c r="H52" i="27"/>
  <c r="I52" i="27" s="1"/>
  <c r="H73" i="27"/>
  <c r="I73" i="27" s="1"/>
  <c r="H74" i="27"/>
  <c r="I74" i="27" s="1"/>
  <c r="H83" i="27"/>
  <c r="I83" i="27" s="1"/>
  <c r="H98" i="27"/>
  <c r="I98" i="27" s="1"/>
  <c r="H105" i="27"/>
  <c r="I105" i="27" s="1"/>
  <c r="H106" i="27"/>
  <c r="I106" i="27" s="1"/>
  <c r="H117" i="27"/>
  <c r="I117" i="27" s="1"/>
  <c r="H126" i="27"/>
  <c r="I126" i="27" s="1"/>
  <c r="H127" i="27"/>
  <c r="I127" i="27" s="1"/>
  <c r="H136" i="27"/>
  <c r="I136" i="27" s="1"/>
  <c r="H142" i="27"/>
  <c r="I142" i="27" s="1"/>
  <c r="H143" i="27"/>
  <c r="I143" i="27" s="1"/>
  <c r="H155" i="27"/>
  <c r="I155" i="27" s="1"/>
  <c r="H162" i="27"/>
  <c r="I162" i="27" s="1"/>
  <c r="H172" i="27"/>
  <c r="I172" i="27" s="1"/>
  <c r="H178" i="27"/>
  <c r="I178" i="27" s="1"/>
  <c r="H180" i="27"/>
  <c r="I180" i="27" s="1"/>
  <c r="H19" i="27"/>
  <c r="I19" i="27" s="1"/>
  <c r="H11" i="27"/>
  <c r="I11" i="27" s="1"/>
  <c r="H28" i="27"/>
  <c r="I28" i="27" s="1"/>
  <c r="H96" i="27"/>
  <c r="I96" i="27" s="1"/>
  <c r="H115" i="27"/>
  <c r="I115" i="27" s="1"/>
  <c r="H134" i="27"/>
  <c r="I134" i="27" s="1"/>
  <c r="H50" i="27"/>
  <c r="I50" i="27" s="1"/>
  <c r="I48" i="27" s="1"/>
  <c r="H70" i="27"/>
  <c r="I70" i="27" s="1"/>
  <c r="H153" i="27"/>
  <c r="I153" i="27" s="1"/>
  <c r="H170" i="27"/>
  <c r="I170" i="27" s="1"/>
  <c r="H187" i="27"/>
  <c r="I187" i="27" s="1"/>
  <c r="H29" i="27"/>
  <c r="I29" i="27" s="1"/>
  <c r="H97" i="27"/>
  <c r="I97" i="27" s="1"/>
  <c r="H116" i="27"/>
  <c r="I116" i="27" s="1"/>
  <c r="H135" i="27"/>
  <c r="I135" i="27" s="1"/>
  <c r="H154" i="27"/>
  <c r="I154" i="27" s="1"/>
  <c r="H171" i="27"/>
  <c r="I171" i="27" s="1"/>
  <c r="H188" i="27"/>
  <c r="I188" i="27" s="1"/>
  <c r="F191" i="27"/>
  <c r="H191" i="27"/>
  <c r="I191" i="27" s="1"/>
  <c r="H193" i="27"/>
  <c r="I193" i="27" s="1"/>
  <c r="H195" i="27"/>
  <c r="I195" i="27" s="1"/>
  <c r="H100" i="27"/>
  <c r="I100" i="27" s="1"/>
  <c r="H119" i="27"/>
  <c r="I119" i="27" s="1"/>
  <c r="H137" i="27"/>
  <c r="I137" i="27" s="1"/>
  <c r="H173" i="27"/>
  <c r="I173" i="27" s="1"/>
  <c r="H12" i="27"/>
  <c r="I12" i="27" s="1"/>
  <c r="H32" i="27"/>
  <c r="I32" i="27" s="1"/>
  <c r="H76" i="27"/>
  <c r="I76" i="27" s="1"/>
  <c r="H120" i="27"/>
  <c r="I120" i="27" s="1"/>
  <c r="H54" i="27"/>
  <c r="I54" i="27" s="1"/>
  <c r="H174" i="27"/>
  <c r="I174" i="27" s="1"/>
  <c r="H33" i="27"/>
  <c r="I33" i="27" s="1"/>
  <c r="H102" i="27"/>
  <c r="I102" i="27" s="1"/>
  <c r="H159" i="27"/>
  <c r="I159" i="27" s="1"/>
  <c r="H34" i="27"/>
  <c r="I34" i="27" s="1"/>
  <c r="H79" i="27"/>
  <c r="I79" i="27" s="1"/>
  <c r="H103" i="27"/>
  <c r="I103" i="27" s="1"/>
  <c r="H123" i="27"/>
  <c r="I123" i="27" s="1"/>
  <c r="H140" i="27"/>
  <c r="I140" i="27" s="1"/>
  <c r="H160" i="27"/>
  <c r="I160" i="27" s="1"/>
  <c r="H176" i="27"/>
  <c r="I176" i="27" s="1"/>
  <c r="H197" i="27"/>
  <c r="I197" i="27" s="1"/>
  <c r="I196" i="27" s="1"/>
  <c r="H156" i="27"/>
  <c r="I156" i="27" s="1"/>
  <c r="H101" i="27"/>
  <c r="I101" i="27" s="1"/>
  <c r="H138" i="27"/>
  <c r="I138" i="27" s="1"/>
  <c r="H158" i="27"/>
  <c r="I158" i="27" s="1"/>
  <c r="H13" i="27"/>
  <c r="I13" i="27" s="1"/>
  <c r="H77" i="27"/>
  <c r="I77" i="27" s="1"/>
  <c r="H121" i="27"/>
  <c r="I121" i="27" s="1"/>
  <c r="H139" i="27"/>
  <c r="I139" i="27" s="1"/>
  <c r="H175" i="27"/>
  <c r="I175" i="27" s="1"/>
  <c r="H14" i="27"/>
  <c r="I14" i="27" s="1"/>
  <c r="H55" i="27"/>
  <c r="I55" i="27" s="1"/>
  <c r="H15" i="27"/>
  <c r="I15" i="27" s="1"/>
  <c r="H35" i="27"/>
  <c r="I35" i="27" s="1"/>
  <c r="H56" i="27"/>
  <c r="I56" i="27" s="1"/>
  <c r="H81" i="27"/>
  <c r="I81" i="27" s="1"/>
  <c r="H104" i="27"/>
  <c r="I104" i="27" s="1"/>
  <c r="H124" i="27"/>
  <c r="I124" i="27" s="1"/>
  <c r="H141" i="27"/>
  <c r="I141" i="27" s="1"/>
  <c r="H161" i="27"/>
  <c r="I161" i="27" s="1"/>
  <c r="H177" i="27"/>
  <c r="I177" i="27" s="1"/>
  <c r="H200" i="27"/>
  <c r="I200" i="27" s="1"/>
  <c r="H201" i="27"/>
  <c r="I201" i="27" s="1"/>
  <c r="H202" i="27"/>
  <c r="I202" i="27" s="1"/>
  <c r="H203" i="27"/>
  <c r="I203" i="27" s="1"/>
  <c r="H21" i="27"/>
  <c r="I21" i="27" s="1"/>
  <c r="H166" i="27"/>
  <c r="I166" i="27" s="1"/>
  <c r="H183" i="27"/>
  <c r="I183" i="27" s="1"/>
  <c r="H204" i="27"/>
  <c r="I204" i="27" s="1"/>
  <c r="H60" i="27"/>
  <c r="I60" i="27" s="1"/>
  <c r="H38" i="27"/>
  <c r="I38" i="27" s="1"/>
  <c r="H88" i="27"/>
  <c r="I88" i="27" s="1"/>
  <c r="H164" i="27"/>
  <c r="I164" i="27" s="1"/>
  <c r="H165" i="27"/>
  <c r="I165" i="27" s="1"/>
  <c r="H41" i="27"/>
  <c r="I41" i="27" s="1"/>
  <c r="H109" i="27"/>
  <c r="I109" i="27" s="1"/>
  <c r="H42" i="27"/>
  <c r="I42" i="27" s="1"/>
  <c r="H112" i="27"/>
  <c r="I112" i="27" s="1"/>
  <c r="H131" i="27"/>
  <c r="I131" i="27" s="1"/>
  <c r="H148" i="27"/>
  <c r="I148" i="27" s="1"/>
  <c r="H65" i="27"/>
  <c r="I65" i="27" s="1"/>
  <c r="H167" i="27"/>
  <c r="I167" i="27" s="1"/>
  <c r="H184" i="27"/>
  <c r="I184" i="27" s="1"/>
  <c r="H206" i="27"/>
  <c r="I206" i="27" s="1"/>
  <c r="H20" i="27"/>
  <c r="I20" i="27" s="1"/>
  <c r="H163" i="27"/>
  <c r="I163" i="27" s="1"/>
  <c r="H107" i="27"/>
  <c r="I107" i="27" s="1"/>
  <c r="H181" i="27"/>
  <c r="I181" i="27" s="1"/>
  <c r="H89" i="27"/>
  <c r="I89" i="27" s="1"/>
  <c r="H130" i="27"/>
  <c r="I130" i="27" s="1"/>
  <c r="H91" i="27"/>
  <c r="I91" i="27" s="1"/>
  <c r="H23" i="27"/>
  <c r="I23" i="27" s="1"/>
  <c r="H24" i="27"/>
  <c r="I24" i="27" s="1"/>
  <c r="H94" i="27"/>
  <c r="I94" i="27" s="1"/>
  <c r="H113" i="27"/>
  <c r="I113" i="27" s="1"/>
  <c r="H66" i="27"/>
  <c r="I66" i="27" s="1"/>
  <c r="H151" i="27"/>
  <c r="I151" i="27" s="1"/>
  <c r="H168" i="27"/>
  <c r="I168" i="27" s="1"/>
  <c r="H185" i="27"/>
  <c r="I185" i="27" s="1"/>
  <c r="H128" i="27"/>
  <c r="I128" i="27" s="1"/>
  <c r="H108" i="27"/>
  <c r="I108" i="27" s="1"/>
  <c r="H146" i="27"/>
  <c r="I146" i="27" s="1"/>
  <c r="H22" i="27"/>
  <c r="I22" i="27" s="1"/>
  <c r="H147" i="27"/>
  <c r="I147" i="27" s="1"/>
  <c r="H63" i="27"/>
  <c r="I63" i="27" s="1"/>
  <c r="H44" i="27"/>
  <c r="I44" i="27" s="1"/>
  <c r="H132" i="27"/>
  <c r="I132" i="27" s="1"/>
  <c r="H25" i="27"/>
  <c r="I25" i="27" s="1"/>
  <c r="H47" i="27"/>
  <c r="I47" i="27" s="1"/>
  <c r="H95" i="27"/>
  <c r="I95" i="27" s="1"/>
  <c r="H114" i="27"/>
  <c r="I114" i="27" s="1"/>
  <c r="H133" i="27"/>
  <c r="I133" i="27" s="1"/>
  <c r="H208" i="27"/>
  <c r="I208" i="27" s="1"/>
  <c r="H86" i="27"/>
  <c r="I86" i="27" s="1"/>
  <c r="H144" i="27"/>
  <c r="I144" i="27" s="1"/>
  <c r="H61" i="27"/>
  <c r="I61" i="27" s="1"/>
  <c r="H40" i="27"/>
  <c r="I40" i="27" s="1"/>
  <c r="H129" i="27"/>
  <c r="I129" i="27" s="1"/>
  <c r="H62" i="27"/>
  <c r="I62" i="27" s="1"/>
  <c r="H182" i="27"/>
  <c r="I182" i="27" s="1"/>
  <c r="H68" i="27"/>
  <c r="I68" i="27" s="1"/>
  <c r="H152" i="27"/>
  <c r="I152" i="27" s="1"/>
  <c r="H169" i="27"/>
  <c r="I169" i="27" s="1"/>
  <c r="Q11" i="17"/>
  <c r="Q12" i="17"/>
  <c r="Q13" i="17"/>
  <c r="Q14" i="17"/>
  <c r="Q15" i="17"/>
  <c r="Q16" i="17"/>
  <c r="Q17" i="17"/>
  <c r="Q18" i="17"/>
  <c r="Q19" i="17"/>
  <c r="Q20" i="17"/>
  <c r="Q21" i="17"/>
  <c r="Q10" i="17"/>
  <c r="F22" i="15"/>
  <c r="I71" i="27" l="1"/>
  <c r="I57" i="27"/>
  <c r="I9" i="27"/>
  <c r="I16" i="27"/>
  <c r="I189" i="27"/>
  <c r="I149" i="27"/>
  <c r="I84" i="27"/>
  <c r="I92" i="27"/>
  <c r="I198" i="27"/>
  <c r="I53" i="27"/>
  <c r="J52" i="15"/>
  <c r="I209" i="27" l="1"/>
  <c r="K209" i="27"/>
  <c r="F54" i="15"/>
  <c r="F191" i="15" s="1"/>
  <c r="B4" i="17"/>
  <c r="B4" i="24"/>
  <c r="B4" i="18"/>
  <c r="B4" i="15"/>
  <c r="F55" i="15" l="1"/>
  <c r="D19" i="25"/>
  <c r="C24" i="25"/>
  <c r="C19" i="25"/>
  <c r="D20" i="25" l="1"/>
  <c r="D98" i="25"/>
  <c r="D101" i="25"/>
  <c r="D104" i="25"/>
  <c r="B102" i="25"/>
  <c r="A102" i="25"/>
  <c r="B99" i="25"/>
  <c r="A99" i="25"/>
  <c r="B96" i="25"/>
  <c r="D95" i="25"/>
  <c r="D92" i="25"/>
  <c r="C92" i="25"/>
  <c r="D83" i="25"/>
  <c r="B81" i="25"/>
  <c r="A81" i="25"/>
  <c r="D80" i="25"/>
  <c r="B78" i="25"/>
  <c r="A78" i="25"/>
  <c r="D77" i="25"/>
  <c r="B75" i="25"/>
  <c r="A75" i="25"/>
  <c r="D71" i="25"/>
  <c r="B69" i="25"/>
  <c r="A69" i="25"/>
  <c r="D74" i="25" l="1"/>
  <c r="B72" i="25"/>
  <c r="D68" i="25"/>
  <c r="B66" i="25"/>
  <c r="D65" i="25"/>
  <c r="B63" i="25"/>
  <c r="D62" i="25"/>
  <c r="B60" i="25"/>
  <c r="D59" i="25"/>
  <c r="D56" i="25"/>
  <c r="B57" i="25"/>
  <c r="A57" i="25"/>
  <c r="A54" i="25"/>
  <c r="B54" i="25"/>
  <c r="D52" i="25"/>
  <c r="B50" i="25"/>
  <c r="A50" i="25"/>
  <c r="D49" i="25"/>
  <c r="B47" i="25"/>
  <c r="B44" i="25"/>
  <c r="D46" i="25"/>
  <c r="D40" i="25"/>
  <c r="D37" i="25"/>
  <c r="B35" i="25"/>
  <c r="A35" i="25"/>
  <c r="B41" i="25"/>
  <c r="A41" i="25"/>
  <c r="B32" i="25"/>
  <c r="A32" i="25"/>
  <c r="B29" i="25"/>
  <c r="A29" i="25"/>
  <c r="D24" i="25"/>
  <c r="D43" i="25" s="1"/>
  <c r="D21" i="25"/>
  <c r="J50" i="15"/>
  <c r="C86" i="25" l="1"/>
  <c r="D86" i="25" s="1"/>
  <c r="D27" i="25"/>
  <c r="C34" i="25"/>
  <c r="G146" i="24"/>
  <c r="G145" i="24"/>
  <c r="G147" i="24"/>
  <c r="G148" i="24"/>
  <c r="G149" i="24"/>
  <c r="G150" i="24"/>
  <c r="G151" i="24"/>
  <c r="G152" i="24"/>
  <c r="G153" i="24"/>
  <c r="G62" i="24"/>
  <c r="G54" i="24"/>
  <c r="G46" i="24"/>
  <c r="D34" i="25" l="1"/>
  <c r="C89" i="25"/>
  <c r="D89" i="25" s="1"/>
  <c r="C31" i="25"/>
  <c r="D31" i="25" s="1"/>
  <c r="G154" i="24"/>
  <c r="A10" i="17"/>
  <c r="A11" i="17"/>
  <c r="A12" i="17"/>
  <c r="A13" i="17"/>
  <c r="A14" i="17"/>
  <c r="A15" i="17"/>
  <c r="A16" i="17"/>
  <c r="A17" i="17"/>
  <c r="A18" i="17"/>
  <c r="A19" i="17"/>
  <c r="A20" i="17"/>
  <c r="A21" i="17"/>
  <c r="G140" i="24" l="1"/>
  <c r="F123" i="24" s="1"/>
  <c r="G123" i="24" s="1"/>
  <c r="G116" i="24"/>
  <c r="F106" i="24" s="1"/>
  <c r="G133" i="24"/>
  <c r="F122" i="24" s="1"/>
  <c r="G122" i="24" s="1"/>
  <c r="G125" i="24"/>
  <c r="G124" i="24"/>
  <c r="G126" i="24" l="1"/>
  <c r="G108" i="24"/>
  <c r="G107" i="24"/>
  <c r="G106" i="24"/>
  <c r="G100" i="24"/>
  <c r="G85" i="24"/>
  <c r="G86" i="24"/>
  <c r="G87" i="24"/>
  <c r="G88" i="24"/>
  <c r="G89" i="24"/>
  <c r="G90" i="24"/>
  <c r="G91" i="24"/>
  <c r="G92" i="24"/>
  <c r="G93" i="24"/>
  <c r="G94" i="24"/>
  <c r="G95" i="24"/>
  <c r="G96" i="24"/>
  <c r="G97" i="24"/>
  <c r="G98" i="24"/>
  <c r="G99" i="24"/>
  <c r="G84" i="24"/>
  <c r="G83" i="24"/>
  <c r="G82" i="24"/>
  <c r="G81" i="24"/>
  <c r="G80" i="24"/>
  <c r="G79" i="24"/>
  <c r="G78" i="24"/>
  <c r="G71" i="24"/>
  <c r="G72" i="24"/>
  <c r="G70" i="24"/>
  <c r="G69" i="24"/>
  <c r="G68" i="24"/>
  <c r="G33" i="24"/>
  <c r="G37" i="24"/>
  <c r="G36" i="24"/>
  <c r="G35" i="24"/>
  <c r="G34" i="24"/>
  <c r="G26" i="24"/>
  <c r="G25" i="24"/>
  <c r="G24" i="24"/>
  <c r="G23" i="24"/>
  <c r="G22" i="24"/>
  <c r="B20" i="18"/>
  <c r="B21" i="17" s="1"/>
  <c r="B19" i="18"/>
  <c r="B20" i="17" s="1"/>
  <c r="B18" i="18"/>
  <c r="B19" i="17" s="1"/>
  <c r="B17" i="18"/>
  <c r="B18" i="17" s="1"/>
  <c r="B16" i="18"/>
  <c r="B17" i="17" s="1"/>
  <c r="B15" i="18"/>
  <c r="B16" i="17" s="1"/>
  <c r="B14" i="18"/>
  <c r="B15" i="17" s="1"/>
  <c r="B13" i="18"/>
  <c r="B14" i="17" s="1"/>
  <c r="B12" i="18"/>
  <c r="B13" i="17" s="1"/>
  <c r="B11" i="18"/>
  <c r="B12" i="17" s="1"/>
  <c r="B10" i="18"/>
  <c r="B11" i="17" s="1"/>
  <c r="B9" i="18"/>
  <c r="B10" i="17" s="1"/>
  <c r="B8" i="18"/>
  <c r="B9" i="17" s="1"/>
  <c r="G27" i="24" l="1"/>
  <c r="G38" i="24"/>
  <c r="G101" i="24"/>
  <c r="G109" i="24"/>
  <c r="G73" i="24"/>
  <c r="D15" i="25"/>
  <c r="D14" i="25"/>
  <c r="D10" i="25"/>
  <c r="B4" i="25"/>
  <c r="B3" i="25"/>
  <c r="B2" i="25"/>
  <c r="B1" i="25"/>
  <c r="B1" i="18"/>
  <c r="D13" i="25"/>
  <c r="D12" i="25"/>
  <c r="D11" i="25"/>
  <c r="A4" i="25"/>
  <c r="A3" i="25"/>
  <c r="A2" i="25"/>
  <c r="A1" i="25"/>
  <c r="D16" i="6" l="1"/>
  <c r="D8" i="6"/>
  <c r="D11" i="6"/>
  <c r="D21" i="6" l="1"/>
  <c r="G4" i="18" s="1"/>
  <c r="I4" i="15" l="1"/>
  <c r="H140" i="15" l="1"/>
  <c r="I140" i="15" s="1"/>
  <c r="H133" i="15"/>
  <c r="I133" i="15" s="1"/>
  <c r="H116" i="15"/>
  <c r="I116" i="15" s="1"/>
  <c r="H143" i="15"/>
  <c r="I143" i="15" s="1"/>
  <c r="H61" i="15"/>
  <c r="I61" i="15" s="1"/>
  <c r="H188" i="15"/>
  <c r="I188" i="15" s="1"/>
  <c r="H44" i="15"/>
  <c r="I44" i="15" s="1"/>
  <c r="H56" i="15"/>
  <c r="I56" i="15" s="1"/>
  <c r="H40" i="15"/>
  <c r="I40" i="15" s="1"/>
  <c r="H42" i="15"/>
  <c r="I42" i="15" s="1"/>
  <c r="H41" i="15"/>
  <c r="I41" i="15" s="1"/>
  <c r="H36" i="15"/>
  <c r="I36" i="15" s="1"/>
  <c r="H34" i="15"/>
  <c r="I34" i="15" s="1"/>
  <c r="H35" i="15"/>
  <c r="I35" i="15" s="1"/>
  <c r="H91" i="15"/>
  <c r="I91" i="15" s="1"/>
  <c r="H33" i="15"/>
  <c r="I33" i="15" s="1"/>
  <c r="H62" i="15"/>
  <c r="I62" i="15" s="1"/>
  <c r="H13" i="15"/>
  <c r="I13" i="15" s="1"/>
  <c r="H63" i="15"/>
  <c r="I63" i="15" s="1"/>
  <c r="H195" i="15"/>
  <c r="I195" i="15" s="1"/>
  <c r="H15" i="15"/>
  <c r="I15" i="15" s="1"/>
  <c r="H52" i="15"/>
  <c r="I52" i="15" s="1"/>
  <c r="H206" i="15"/>
  <c r="I206" i="15" s="1"/>
  <c r="H202" i="15"/>
  <c r="I202" i="15" s="1"/>
  <c r="H204" i="15"/>
  <c r="I204" i="15" s="1"/>
  <c r="H200" i="15"/>
  <c r="I200" i="15" s="1"/>
  <c r="H203" i="15"/>
  <c r="I203" i="15" s="1"/>
  <c r="H201" i="15"/>
  <c r="I201" i="15" s="1"/>
  <c r="H89" i="15"/>
  <c r="I89" i="15" s="1"/>
  <c r="H66" i="15"/>
  <c r="I66" i="15" s="1"/>
  <c r="H65" i="15"/>
  <c r="I65" i="15" s="1"/>
  <c r="H70" i="15"/>
  <c r="I70" i="15" s="1"/>
  <c r="I57" i="15" s="1"/>
  <c r="H83" i="15"/>
  <c r="I83" i="15" s="1"/>
  <c r="H79" i="15"/>
  <c r="I79" i="15" s="1"/>
  <c r="H139" i="15"/>
  <c r="I139" i="15" s="1"/>
  <c r="H136" i="15"/>
  <c r="I136" i="15" s="1"/>
  <c r="H137" i="15"/>
  <c r="I137" i="15" s="1"/>
  <c r="H147" i="15"/>
  <c r="I147" i="15" s="1"/>
  <c r="H113" i="15"/>
  <c r="I113" i="15" s="1"/>
  <c r="H114" i="15"/>
  <c r="I114" i="15" s="1"/>
  <c r="H103" i="15"/>
  <c r="I103" i="15" s="1"/>
  <c r="H109" i="15"/>
  <c r="I109" i="15" s="1"/>
  <c r="H97" i="15"/>
  <c r="I97" i="15" s="1"/>
  <c r="H98" i="15"/>
  <c r="I98" i="15" s="1"/>
  <c r="H95" i="15"/>
  <c r="I95" i="15" s="1"/>
  <c r="H96" i="15"/>
  <c r="I96" i="15" s="1"/>
  <c r="H153" i="15"/>
  <c r="I153" i="15" s="1"/>
  <c r="H186" i="15"/>
  <c r="I186" i="15" s="1"/>
  <c r="H178" i="15"/>
  <c r="I178" i="15" s="1"/>
  <c r="H183" i="15"/>
  <c r="I183" i="15" s="1"/>
  <c r="H176" i="15"/>
  <c r="I176" i="15" s="1"/>
  <c r="H177" i="15"/>
  <c r="I177" i="15" s="1"/>
  <c r="H173" i="15"/>
  <c r="I173" i="15" s="1"/>
  <c r="H175" i="15"/>
  <c r="I175" i="15" s="1"/>
  <c r="H169" i="15"/>
  <c r="I169" i="15" s="1"/>
  <c r="H171" i="15"/>
  <c r="I171" i="15" s="1"/>
  <c r="H163" i="15"/>
  <c r="I163" i="15" s="1"/>
  <c r="H167" i="15"/>
  <c r="I167" i="15" s="1"/>
  <c r="H159" i="15"/>
  <c r="I159" i="15" s="1"/>
  <c r="H162" i="15"/>
  <c r="I162" i="15" s="1"/>
  <c r="H155" i="15"/>
  <c r="I155" i="15" s="1"/>
  <c r="H152" i="15"/>
  <c r="I152" i="15" s="1"/>
  <c r="H170" i="15"/>
  <c r="I170" i="15" s="1"/>
  <c r="H88" i="15"/>
  <c r="I88" i="15" s="1"/>
  <c r="H154" i="15"/>
  <c r="I154" i="15" s="1"/>
  <c r="H22" i="15"/>
  <c r="I22" i="15" s="1"/>
  <c r="H124" i="15"/>
  <c r="I124" i="15" s="1"/>
  <c r="H11" i="15"/>
  <c r="I11" i="15" s="1"/>
  <c r="H174" i="15"/>
  <c r="I174" i="15" s="1"/>
  <c r="H94" i="15"/>
  <c r="I94" i="15" s="1"/>
  <c r="H123" i="15"/>
  <c r="I123" i="15" s="1"/>
  <c r="H121" i="15"/>
  <c r="I121" i="15" s="1"/>
  <c r="H119" i="15"/>
  <c r="I119" i="15" s="1"/>
  <c r="H117" i="15"/>
  <c r="I117" i="15" s="1"/>
  <c r="H120" i="15"/>
  <c r="I120" i="15" s="1"/>
  <c r="H81" i="15"/>
  <c r="I81" i="15" s="1"/>
  <c r="H25" i="15"/>
  <c r="I25" i="15" s="1"/>
  <c r="H24" i="15"/>
  <c r="I24" i="15" s="1"/>
  <c r="H76" i="15"/>
  <c r="I76" i="15" s="1"/>
  <c r="H77" i="15"/>
  <c r="I77" i="15" s="1"/>
  <c r="H74" i="15"/>
  <c r="I74" i="15" s="1"/>
  <c r="H73" i="15"/>
  <c r="I73" i="15" s="1"/>
  <c r="H55" i="15"/>
  <c r="I55" i="15" s="1"/>
  <c r="H182" i="15"/>
  <c r="I182" i="15" s="1"/>
  <c r="H181" i="15"/>
  <c r="I181" i="15" s="1"/>
  <c r="H184" i="15"/>
  <c r="I184" i="15" s="1"/>
  <c r="H185" i="15"/>
  <c r="I185" i="15" s="1"/>
  <c r="H187" i="15"/>
  <c r="I187" i="15" s="1"/>
  <c r="H158" i="15"/>
  <c r="I158" i="15" s="1"/>
  <c r="H164" i="15"/>
  <c r="I164" i="15" s="1"/>
  <c r="H156" i="15"/>
  <c r="I156" i="15" s="1"/>
  <c r="H151" i="15"/>
  <c r="I151" i="15" s="1"/>
  <c r="H208" i="15"/>
  <c r="I208" i="15" s="1"/>
  <c r="H127" i="15"/>
  <c r="I127" i="15" s="1"/>
  <c r="H146" i="15"/>
  <c r="I146" i="15" s="1"/>
  <c r="H148" i="15"/>
  <c r="I148" i="15" s="1"/>
  <c r="H101" i="15"/>
  <c r="I101" i="15" s="1"/>
  <c r="H144" i="15"/>
  <c r="I144" i="15" s="1"/>
  <c r="H134" i="15"/>
  <c r="I134" i="15" s="1"/>
  <c r="H142" i="15"/>
  <c r="I142" i="15" s="1"/>
  <c r="H130" i="15"/>
  <c r="I130" i="15" s="1"/>
  <c r="H102" i="15"/>
  <c r="I102" i="15" s="1"/>
  <c r="H126" i="15"/>
  <c r="I126" i="15" s="1"/>
  <c r="H132" i="15"/>
  <c r="I132" i="15" s="1"/>
  <c r="H115" i="15"/>
  <c r="I115" i="15" s="1"/>
  <c r="H105" i="15"/>
  <c r="I105" i="15" s="1"/>
  <c r="H100" i="15"/>
  <c r="I100" i="15" s="1"/>
  <c r="H108" i="15"/>
  <c r="I108" i="15" s="1"/>
  <c r="H106" i="15"/>
  <c r="I106" i="15" s="1"/>
  <c r="H141" i="15"/>
  <c r="I141" i="15" s="1"/>
  <c r="H129" i="15"/>
  <c r="I129" i="15" s="1"/>
  <c r="H112" i="15"/>
  <c r="I112" i="15" s="1"/>
  <c r="H107" i="15"/>
  <c r="I107" i="15" s="1"/>
  <c r="H104" i="15"/>
  <c r="I104" i="15" s="1"/>
  <c r="H135" i="15"/>
  <c r="I135" i="15" s="1"/>
  <c r="H128" i="15"/>
  <c r="I128" i="15" s="1"/>
  <c r="H131" i="15"/>
  <c r="I131" i="15" s="1"/>
  <c r="H138" i="15"/>
  <c r="I138" i="15" s="1"/>
  <c r="H160" i="15"/>
  <c r="I160" i="15" s="1"/>
  <c r="H180" i="15"/>
  <c r="I180" i="15" s="1"/>
  <c r="H168" i="15"/>
  <c r="I168" i="15" s="1"/>
  <c r="H166" i="15"/>
  <c r="I166" i="15" s="1"/>
  <c r="H161" i="15"/>
  <c r="I161" i="15" s="1"/>
  <c r="H165" i="15"/>
  <c r="I165" i="15" s="1"/>
  <c r="H172" i="15"/>
  <c r="I172" i="15" s="1"/>
  <c r="H193" i="15"/>
  <c r="I193" i="15" s="1"/>
  <c r="H23" i="15"/>
  <c r="I23" i="15" s="1"/>
  <c r="H20" i="15"/>
  <c r="I20" i="15" s="1"/>
  <c r="H19" i="15"/>
  <c r="I19" i="15" s="1"/>
  <c r="H37" i="15"/>
  <c r="I37" i="15" s="1"/>
  <c r="H29" i="15"/>
  <c r="I29" i="15" s="1"/>
  <c r="H32" i="15"/>
  <c r="I32" i="15" s="1"/>
  <c r="H28" i="15"/>
  <c r="I28" i="15" s="1"/>
  <c r="H21" i="15"/>
  <c r="I21" i="15" s="1"/>
  <c r="H47" i="15"/>
  <c r="I47" i="15" s="1"/>
  <c r="H30" i="15"/>
  <c r="I30" i="15" s="1"/>
  <c r="H31" i="15"/>
  <c r="I31" i="15" s="1"/>
  <c r="H38" i="15"/>
  <c r="I38" i="15" s="1"/>
  <c r="H14" i="15"/>
  <c r="I14" i="15" s="1"/>
  <c r="H12" i="15"/>
  <c r="I12" i="15" s="1"/>
  <c r="H86" i="15"/>
  <c r="I86" i="15" s="1"/>
  <c r="H197" i="15"/>
  <c r="I197" i="15" s="1"/>
  <c r="H60" i="15"/>
  <c r="I60" i="15" s="1"/>
  <c r="H50" i="15"/>
  <c r="I50" i="15" s="1"/>
  <c r="I48" i="15" s="1"/>
  <c r="H59" i="15"/>
  <c r="I59" i="15" s="1"/>
  <c r="G13" i="24"/>
  <c r="G12" i="24"/>
  <c r="I84" i="15" l="1"/>
  <c r="I198" i="15"/>
  <c r="F15" i="18"/>
  <c r="C16" i="17" s="1"/>
  <c r="O16" i="17" s="1"/>
  <c r="F11" i="18"/>
  <c r="C12" i="17" s="1"/>
  <c r="O12" i="17" s="1"/>
  <c r="I9" i="15"/>
  <c r="F9" i="18" s="1"/>
  <c r="C10" i="17" s="1"/>
  <c r="O10" i="17" s="1"/>
  <c r="G14" i="24"/>
  <c r="G8" i="15" s="1"/>
  <c r="F16" i="18" l="1"/>
  <c r="C17" i="17" s="1"/>
  <c r="O17" i="17" s="1"/>
  <c r="F13" i="18"/>
  <c r="F17" i="18"/>
  <c r="C18" i="17" s="1"/>
  <c r="O18" i="17" s="1"/>
  <c r="F14" i="18"/>
  <c r="C15" i="17" s="1"/>
  <c r="O15" i="17" s="1"/>
  <c r="F10" i="18"/>
  <c r="H8" i="15"/>
  <c r="I8" i="15" s="1"/>
  <c r="I7" i="15" s="1"/>
  <c r="A9" i="17"/>
  <c r="C11" i="17" l="1"/>
  <c r="O11" i="17" s="1"/>
  <c r="C14" i="17"/>
  <c r="O14" i="17" s="1"/>
  <c r="F8" i="18"/>
  <c r="C9" i="17" s="1"/>
  <c r="E16" i="17"/>
  <c r="G16" i="17"/>
  <c r="I16" i="17"/>
  <c r="M16" i="17"/>
  <c r="K16" i="17"/>
  <c r="B2" i="24" l="1"/>
  <c r="B3" i="24"/>
  <c r="B1" i="24"/>
  <c r="B2" i="17"/>
  <c r="B3" i="17"/>
  <c r="B1" i="17"/>
  <c r="B2" i="18"/>
  <c r="B3" i="18"/>
  <c r="A4" i="24"/>
  <c r="A3" i="24"/>
  <c r="A2" i="24"/>
  <c r="A1" i="24"/>
  <c r="C15" i="22" l="1"/>
  <c r="E15" i="22" s="1"/>
  <c r="F15" i="22" s="1"/>
  <c r="B14" i="22"/>
  <c r="C14" i="22" s="1"/>
  <c r="E14" i="22" s="1"/>
  <c r="F14" i="22" s="1"/>
  <c r="B13" i="22"/>
  <c r="C13" i="22" s="1"/>
  <c r="E13" i="22" s="1"/>
  <c r="F13" i="22" s="1"/>
  <c r="B12" i="22"/>
  <c r="C12" i="22" s="1"/>
  <c r="E12" i="22" s="1"/>
  <c r="F12" i="22" s="1"/>
  <c r="B11" i="22"/>
  <c r="C11" i="22" s="1"/>
  <c r="E11" i="22" s="1"/>
  <c r="F11" i="22" s="1"/>
  <c r="B3" i="22"/>
  <c r="B2" i="22"/>
  <c r="B1" i="22"/>
  <c r="G32" i="21" l="1"/>
  <c r="G31" i="21"/>
  <c r="G30" i="21"/>
  <c r="G29" i="21"/>
  <c r="G23" i="21"/>
  <c r="G22" i="21"/>
  <c r="G21" i="21"/>
  <c r="G15" i="21"/>
  <c r="G14" i="21"/>
  <c r="G13" i="21"/>
  <c r="G12" i="21"/>
  <c r="G11" i="21"/>
  <c r="G10" i="21"/>
  <c r="G9" i="21"/>
  <c r="B4" i="21"/>
  <c r="A4" i="21"/>
  <c r="B3" i="21"/>
  <c r="A3" i="21"/>
  <c r="B2" i="21"/>
  <c r="A2" i="21"/>
  <c r="B1" i="21"/>
  <c r="A1" i="21"/>
  <c r="B14" i="13"/>
  <c r="B13" i="13"/>
  <c r="B12" i="13"/>
  <c r="G18" i="19"/>
  <c r="F18" i="19"/>
  <c r="G17" i="19"/>
  <c r="F17" i="19"/>
  <c r="G16" i="19"/>
  <c r="F16" i="19"/>
  <c r="G15" i="19"/>
  <c r="F15" i="19"/>
  <c r="G14" i="19"/>
  <c r="F14" i="19"/>
  <c r="G13" i="19"/>
  <c r="F13" i="19"/>
  <c r="G12" i="19"/>
  <c r="F12" i="19"/>
  <c r="G11" i="19"/>
  <c r="F11" i="19"/>
  <c r="G10" i="19"/>
  <c r="F10" i="19"/>
  <c r="H9" i="19"/>
  <c r="G9" i="19"/>
  <c r="F9" i="19"/>
  <c r="B3" i="19"/>
  <c r="B2" i="19"/>
  <c r="B1" i="19"/>
  <c r="G33" i="21" l="1"/>
  <c r="H10" i="19"/>
  <c r="H11" i="19" s="1"/>
  <c r="I11" i="19" s="1"/>
  <c r="G16" i="21"/>
  <c r="G24" i="21"/>
  <c r="I9" i="19"/>
  <c r="I10" i="19"/>
  <c r="Q10" i="14"/>
  <c r="K10" i="19" s="1"/>
  <c r="Q11" i="14"/>
  <c r="K11" i="19" s="1"/>
  <c r="Q12" i="14"/>
  <c r="K12" i="19" s="1"/>
  <c r="Q13" i="14"/>
  <c r="K13" i="19" s="1"/>
  <c r="Q14" i="14"/>
  <c r="K14" i="19" s="1"/>
  <c r="Q15" i="14"/>
  <c r="K15" i="19" s="1"/>
  <c r="Q16" i="14"/>
  <c r="K16" i="19" s="1"/>
  <c r="Q17" i="14"/>
  <c r="K17" i="19" s="1"/>
  <c r="Q18" i="14"/>
  <c r="K18" i="19" s="1"/>
  <c r="Q9" i="14"/>
  <c r="K9" i="19" s="1"/>
  <c r="M18" i="14"/>
  <c r="H18" i="14"/>
  <c r="G18" i="14"/>
  <c r="J18" i="14" s="1"/>
  <c r="O18" i="14" s="1"/>
  <c r="P18" i="14" s="1"/>
  <c r="R18" i="14" s="1"/>
  <c r="M17" i="14"/>
  <c r="H17" i="14"/>
  <c r="G17" i="14"/>
  <c r="J17" i="14" s="1"/>
  <c r="M16" i="14"/>
  <c r="H16" i="14"/>
  <c r="G16" i="14"/>
  <c r="J16" i="14" s="1"/>
  <c r="O16" i="14" s="1"/>
  <c r="P16" i="14" s="1"/>
  <c r="R16" i="14" s="1"/>
  <c r="M15" i="14"/>
  <c r="H15" i="14"/>
  <c r="G15" i="14"/>
  <c r="J15" i="14" s="1"/>
  <c r="O15" i="14" s="1"/>
  <c r="P15" i="14" s="1"/>
  <c r="R15" i="14" s="1"/>
  <c r="M14" i="14"/>
  <c r="H14" i="14"/>
  <c r="G14" i="14"/>
  <c r="J14" i="14" s="1"/>
  <c r="O14" i="14" s="1"/>
  <c r="P14" i="14" s="1"/>
  <c r="R14" i="14" s="1"/>
  <c r="M13" i="14"/>
  <c r="H13" i="14"/>
  <c r="G13" i="14"/>
  <c r="J13" i="14" s="1"/>
  <c r="O13" i="14" s="1"/>
  <c r="P13" i="14" s="1"/>
  <c r="R13" i="14" s="1"/>
  <c r="M12" i="14"/>
  <c r="H12" i="14"/>
  <c r="G12" i="14"/>
  <c r="J12" i="14" s="1"/>
  <c r="O12" i="14" s="1"/>
  <c r="P12" i="14" s="1"/>
  <c r="R12" i="14" s="1"/>
  <c r="M11" i="14"/>
  <c r="H11" i="14"/>
  <c r="G11" i="14"/>
  <c r="J11" i="14" s="1"/>
  <c r="O11" i="14" s="1"/>
  <c r="P11" i="14" s="1"/>
  <c r="R11" i="14" s="1"/>
  <c r="H10" i="14"/>
  <c r="H9" i="14"/>
  <c r="M10" i="14"/>
  <c r="G10" i="14"/>
  <c r="J10" i="14" s="1"/>
  <c r="O10" i="14" s="1"/>
  <c r="H12" i="19" l="1"/>
  <c r="O17" i="14"/>
  <c r="P17" i="14" s="1"/>
  <c r="R17" i="14" s="1"/>
  <c r="P10" i="14"/>
  <c r="R10" i="14" s="1"/>
  <c r="M9" i="14"/>
  <c r="I9" i="14"/>
  <c r="I10" i="14" s="1"/>
  <c r="G9" i="14"/>
  <c r="J9" i="14" s="1"/>
  <c r="O9" i="14" s="1"/>
  <c r="B3" i="14"/>
  <c r="B2" i="14"/>
  <c r="B1" i="14"/>
  <c r="F28" i="2"/>
  <c r="B11" i="13"/>
  <c r="J32" i="9"/>
  <c r="H32" i="9"/>
  <c r="I32" i="9" s="1"/>
  <c r="J31" i="9"/>
  <c r="H31" i="9"/>
  <c r="I31" i="9" s="1"/>
  <c r="J30" i="9"/>
  <c r="H30" i="9"/>
  <c r="I30" i="9" s="1"/>
  <c r="J29" i="9"/>
  <c r="H29" i="9"/>
  <c r="I29" i="9" s="1"/>
  <c r="J28" i="9"/>
  <c r="H28" i="9"/>
  <c r="I28" i="9" s="1"/>
  <c r="J27" i="9"/>
  <c r="H27" i="9"/>
  <c r="I27" i="9" s="1"/>
  <c r="J26" i="9"/>
  <c r="H26" i="9"/>
  <c r="K26" i="9" s="1"/>
  <c r="J25" i="9"/>
  <c r="H25" i="9"/>
  <c r="K25" i="9" s="1"/>
  <c r="J24" i="9"/>
  <c r="H24" i="9"/>
  <c r="K24" i="9" s="1"/>
  <c r="J23" i="9"/>
  <c r="H23" i="9"/>
  <c r="K23" i="9" s="1"/>
  <c r="J22" i="9"/>
  <c r="H22" i="9"/>
  <c r="K22" i="9" s="1"/>
  <c r="J21" i="9"/>
  <c r="H21" i="9"/>
  <c r="K21" i="9" s="1"/>
  <c r="J20" i="9"/>
  <c r="H20" i="9"/>
  <c r="K20" i="9" s="1"/>
  <c r="J19" i="9"/>
  <c r="H19" i="9"/>
  <c r="K19" i="9" s="1"/>
  <c r="J18" i="9"/>
  <c r="H18" i="9"/>
  <c r="I18" i="9" s="1"/>
  <c r="F35" i="2"/>
  <c r="F26" i="2"/>
  <c r="F25" i="2"/>
  <c r="G18" i="11"/>
  <c r="E18" i="11"/>
  <c r="H18" i="11" s="1"/>
  <c r="C18" i="11"/>
  <c r="F18" i="11" s="1"/>
  <c r="L18" i="10"/>
  <c r="J18" i="10"/>
  <c r="H18" i="10"/>
  <c r="K18" i="10" s="1"/>
  <c r="D12" i="2"/>
  <c r="K27" i="9" l="1"/>
  <c r="K32" i="9"/>
  <c r="J18" i="11"/>
  <c r="K18" i="11" s="1"/>
  <c r="K31" i="9"/>
  <c r="I18" i="10"/>
  <c r="K28" i="9"/>
  <c r="I12" i="19"/>
  <c r="H13" i="19"/>
  <c r="K18" i="9"/>
  <c r="K30" i="9"/>
  <c r="K29" i="9"/>
  <c r="K10" i="14"/>
  <c r="I11" i="14"/>
  <c r="P9" i="14"/>
  <c r="R9" i="14" s="1"/>
  <c r="I19" i="9"/>
  <c r="I20" i="9"/>
  <c r="I21" i="9"/>
  <c r="I22" i="9"/>
  <c r="I23" i="9"/>
  <c r="I24" i="9"/>
  <c r="I25" i="9"/>
  <c r="I26" i="9"/>
  <c r="C14" i="13"/>
  <c r="E14" i="13" s="1"/>
  <c r="F14" i="13" s="1"/>
  <c r="C15" i="13"/>
  <c r="E15" i="13" s="1"/>
  <c r="F15" i="13" s="1"/>
  <c r="C11" i="13"/>
  <c r="E11" i="13" s="1"/>
  <c r="F11" i="13" s="1"/>
  <c r="C12" i="13"/>
  <c r="E12" i="13" s="1"/>
  <c r="F12" i="13" s="1"/>
  <c r="C13" i="13"/>
  <c r="E13" i="13" s="1"/>
  <c r="F13" i="13" s="1"/>
  <c r="B3" i="13"/>
  <c r="B2" i="13"/>
  <c r="B1" i="13"/>
  <c r="C9" i="12"/>
  <c r="F9" i="12" s="1"/>
  <c r="G9" i="12"/>
  <c r="H9" i="12"/>
  <c r="B3" i="12"/>
  <c r="B2" i="12"/>
  <c r="B1" i="12"/>
  <c r="G17" i="11"/>
  <c r="E17" i="11"/>
  <c r="H17" i="11" s="1"/>
  <c r="C17" i="11"/>
  <c r="F17" i="11" s="1"/>
  <c r="G16" i="11"/>
  <c r="E16" i="11"/>
  <c r="H16" i="11" s="1"/>
  <c r="C16" i="11"/>
  <c r="F16" i="11" s="1"/>
  <c r="G15" i="11"/>
  <c r="E15" i="11"/>
  <c r="H15" i="11" s="1"/>
  <c r="C15" i="11"/>
  <c r="F15" i="11" s="1"/>
  <c r="G14" i="11"/>
  <c r="E14" i="11"/>
  <c r="H14" i="11" s="1"/>
  <c r="C14" i="11"/>
  <c r="F14" i="11" s="1"/>
  <c r="G13" i="11"/>
  <c r="E13" i="11"/>
  <c r="H13" i="11" s="1"/>
  <c r="C13" i="11"/>
  <c r="F13" i="11" s="1"/>
  <c r="G12" i="11"/>
  <c r="E12" i="11"/>
  <c r="H12" i="11" s="1"/>
  <c r="C12" i="11"/>
  <c r="F12" i="11" s="1"/>
  <c r="G11" i="11"/>
  <c r="E11" i="11"/>
  <c r="H11" i="11" s="1"/>
  <c r="C11" i="11"/>
  <c r="F11" i="11" s="1"/>
  <c r="E10" i="11"/>
  <c r="H10" i="11" s="1"/>
  <c r="C10" i="11"/>
  <c r="F10" i="11" s="1"/>
  <c r="E9" i="11"/>
  <c r="H9" i="11" s="1"/>
  <c r="C9" i="11"/>
  <c r="F9" i="11" s="1"/>
  <c r="G10" i="11"/>
  <c r="G9" i="11"/>
  <c r="B3" i="11"/>
  <c r="B2" i="11"/>
  <c r="B1" i="11"/>
  <c r="J9" i="9"/>
  <c r="H9" i="9"/>
  <c r="I9" i="9" s="1"/>
  <c r="J10" i="9"/>
  <c r="L17" i="10"/>
  <c r="J17" i="10"/>
  <c r="H17" i="10"/>
  <c r="K17" i="10" s="1"/>
  <c r="L16" i="10"/>
  <c r="J16" i="10"/>
  <c r="H16" i="10"/>
  <c r="I16" i="10" s="1"/>
  <c r="L15" i="10"/>
  <c r="J15" i="10"/>
  <c r="H15" i="10"/>
  <c r="I15" i="10" s="1"/>
  <c r="L14" i="10"/>
  <c r="J14" i="10"/>
  <c r="H14" i="10"/>
  <c r="K14" i="10" s="1"/>
  <c r="L13" i="10"/>
  <c r="J13" i="10"/>
  <c r="H13" i="10"/>
  <c r="I13" i="10" s="1"/>
  <c r="L12" i="10"/>
  <c r="J12" i="10"/>
  <c r="H12" i="10"/>
  <c r="I12" i="10" s="1"/>
  <c r="L11" i="10"/>
  <c r="J11" i="10"/>
  <c r="H11" i="10"/>
  <c r="I11" i="10" s="1"/>
  <c r="L10" i="10"/>
  <c r="J10" i="10"/>
  <c r="H10" i="10"/>
  <c r="K10" i="10" s="1"/>
  <c r="L9" i="10"/>
  <c r="J9" i="10"/>
  <c r="H9" i="10"/>
  <c r="I9" i="10" s="1"/>
  <c r="B3" i="10"/>
  <c r="B2" i="10"/>
  <c r="B1" i="10"/>
  <c r="J11" i="9"/>
  <c r="J12" i="9"/>
  <c r="J13" i="9"/>
  <c r="J14" i="9"/>
  <c r="J15" i="9"/>
  <c r="J16" i="9"/>
  <c r="J17" i="9"/>
  <c r="H10" i="9"/>
  <c r="K10" i="9" s="1"/>
  <c r="H11" i="9"/>
  <c r="I11" i="9" s="1"/>
  <c r="H12" i="9"/>
  <c r="I12" i="9" s="1"/>
  <c r="H13" i="9"/>
  <c r="K13" i="9" s="1"/>
  <c r="H14" i="9"/>
  <c r="I14" i="9" s="1"/>
  <c r="H15" i="9"/>
  <c r="I15" i="9" s="1"/>
  <c r="H16" i="9"/>
  <c r="I16" i="9" s="1"/>
  <c r="H17" i="9"/>
  <c r="K17" i="9" s="1"/>
  <c r="B3" i="9"/>
  <c r="B2" i="9"/>
  <c r="B1" i="9"/>
  <c r="K10" i="5"/>
  <c r="K11" i="5"/>
  <c r="K12" i="5"/>
  <c r="K9" i="5"/>
  <c r="A12" i="5"/>
  <c r="A11" i="5"/>
  <c r="A10" i="5"/>
  <c r="A9" i="5"/>
  <c r="B3" i="5"/>
  <c r="B2" i="5"/>
  <c r="B1" i="5"/>
  <c r="G12" i="2"/>
  <c r="B11" i="1"/>
  <c r="B10" i="1"/>
  <c r="B9" i="1"/>
  <c r="B10" i="5" s="1"/>
  <c r="B8" i="1"/>
  <c r="B4" i="1"/>
  <c r="B3" i="1"/>
  <c r="B1" i="1"/>
  <c r="I4" i="2" l="1"/>
  <c r="H10" i="2" s="1"/>
  <c r="I10" i="2" s="1"/>
  <c r="K9" i="10"/>
  <c r="K15" i="10"/>
  <c r="B4" i="22"/>
  <c r="B4" i="19"/>
  <c r="I13" i="19"/>
  <c r="H14" i="19"/>
  <c r="B9" i="5"/>
  <c r="B11" i="5"/>
  <c r="B2" i="1"/>
  <c r="B4" i="5"/>
  <c r="B4" i="14"/>
  <c r="K13" i="10"/>
  <c r="B12" i="5"/>
  <c r="K11" i="10"/>
  <c r="J33" i="9"/>
  <c r="I12" i="14"/>
  <c r="K11" i="14"/>
  <c r="K9" i="14"/>
  <c r="F43" i="2"/>
  <c r="F15" i="2"/>
  <c r="F17" i="2"/>
  <c r="F16" i="2"/>
  <c r="K16" i="9"/>
  <c r="K15" i="9"/>
  <c r="K11" i="9"/>
  <c r="K12" i="9"/>
  <c r="K9" i="9"/>
  <c r="J13" i="11"/>
  <c r="K13" i="11" s="1"/>
  <c r="J15" i="11"/>
  <c r="K15" i="11" s="1"/>
  <c r="I17" i="10"/>
  <c r="F19" i="2" s="1"/>
  <c r="J19" i="10"/>
  <c r="L19" i="10"/>
  <c r="B4" i="12"/>
  <c r="B4" i="10"/>
  <c r="B4" i="13"/>
  <c r="B4" i="11"/>
  <c r="B4" i="9"/>
  <c r="J9" i="12"/>
  <c r="K9" i="12" s="1"/>
  <c r="J11" i="11"/>
  <c r="K11" i="11" s="1"/>
  <c r="J17" i="11"/>
  <c r="K17" i="11" s="1"/>
  <c r="J16" i="11"/>
  <c r="K16" i="11" s="1"/>
  <c r="J14" i="11"/>
  <c r="K14" i="11" s="1"/>
  <c r="J12" i="11"/>
  <c r="K12" i="11" s="1"/>
  <c r="J9" i="11"/>
  <c r="J10" i="11"/>
  <c r="K10" i="11" s="1"/>
  <c r="I17" i="9"/>
  <c r="I13" i="9"/>
  <c r="K14" i="9"/>
  <c r="I10" i="9"/>
  <c r="I10" i="10"/>
  <c r="K12" i="10"/>
  <c r="I14" i="10"/>
  <c r="K16" i="10"/>
  <c r="G36" i="2"/>
  <c r="H19" i="2" l="1"/>
  <c r="H41" i="2"/>
  <c r="H38" i="2"/>
  <c r="I38" i="2" s="1"/>
  <c r="H43" i="2"/>
  <c r="I43" i="2" s="1"/>
  <c r="H14" i="2"/>
  <c r="H20" i="2"/>
  <c r="H34" i="2"/>
  <c r="I34" i="2" s="1"/>
  <c r="H28" i="2"/>
  <c r="I28" i="2" s="1"/>
  <c r="H17" i="2"/>
  <c r="I17" i="2" s="1"/>
  <c r="H31" i="2"/>
  <c r="I31" i="2" s="1"/>
  <c r="H25" i="2"/>
  <c r="I25" i="2" s="1"/>
  <c r="H18" i="2"/>
  <c r="H21" i="2"/>
  <c r="H15" i="2"/>
  <c r="H36" i="2"/>
  <c r="I36" i="2" s="1"/>
  <c r="H9" i="2"/>
  <c r="I9" i="2" s="1"/>
  <c r="H33" i="2"/>
  <c r="I33" i="2" s="1"/>
  <c r="H12" i="2"/>
  <c r="I12" i="2" s="1"/>
  <c r="H35" i="2"/>
  <c r="I35" i="2" s="1"/>
  <c r="H26" i="2"/>
  <c r="I26" i="2" s="1"/>
  <c r="H16" i="2"/>
  <c r="I16" i="2" s="1"/>
  <c r="H54" i="15"/>
  <c r="I54" i="15" s="1"/>
  <c r="I53" i="15" s="1"/>
  <c r="H191" i="15"/>
  <c r="I191" i="15" s="1"/>
  <c r="I189" i="15" s="1"/>
  <c r="I15" i="2"/>
  <c r="I19" i="2"/>
  <c r="F18" i="2"/>
  <c r="F21" i="2"/>
  <c r="I33" i="9"/>
  <c r="I14" i="19"/>
  <c r="H15" i="19"/>
  <c r="K33" i="9"/>
  <c r="G8" i="2"/>
  <c r="H8" i="2" s="1"/>
  <c r="I8" i="2" s="1"/>
  <c r="I7" i="2" s="1"/>
  <c r="F8" i="1" s="1"/>
  <c r="I13" i="14"/>
  <c r="K12" i="14"/>
  <c r="K9" i="11"/>
  <c r="K19" i="11" s="1"/>
  <c r="J19" i="11"/>
  <c r="I19" i="10"/>
  <c r="K19" i="10"/>
  <c r="J10" i="12"/>
  <c r="K10" i="12"/>
  <c r="I209" i="15" l="1"/>
  <c r="F19" i="18"/>
  <c r="C20" i="17" s="1"/>
  <c r="O20" i="17" s="1"/>
  <c r="F18" i="18"/>
  <c r="I18" i="2"/>
  <c r="I21" i="2"/>
  <c r="I22" i="2"/>
  <c r="F10" i="1" s="1"/>
  <c r="C11" i="5" s="1"/>
  <c r="G11" i="5" s="1"/>
  <c r="F14" i="2"/>
  <c r="I14" i="2" s="1"/>
  <c r="A21" i="22"/>
  <c r="C21" i="22" s="1"/>
  <c r="D21" i="22" s="1"/>
  <c r="I15" i="19"/>
  <c r="H16" i="19"/>
  <c r="F20" i="2"/>
  <c r="I20" i="2" s="1"/>
  <c r="I14" i="14"/>
  <c r="K13" i="14"/>
  <c r="A21" i="13"/>
  <c r="C21" i="13" s="1"/>
  <c r="D21" i="13" s="1"/>
  <c r="C9" i="5"/>
  <c r="J209" i="15" l="1"/>
  <c r="C19" i="17"/>
  <c r="F12" i="18"/>
  <c r="C13" i="17" s="1"/>
  <c r="O13" i="17" s="1"/>
  <c r="E18" i="17"/>
  <c r="E11" i="5"/>
  <c r="I11" i="5"/>
  <c r="I13" i="2"/>
  <c r="F9" i="1" s="1"/>
  <c r="C10" i="5" s="1"/>
  <c r="G10" i="5" s="1"/>
  <c r="I16" i="19"/>
  <c r="H17" i="19"/>
  <c r="F41" i="2"/>
  <c r="I41" i="2" s="1"/>
  <c r="I39" i="2" s="1"/>
  <c r="I44" i="2" s="1"/>
  <c r="I15" i="14"/>
  <c r="K14" i="14"/>
  <c r="I9" i="5"/>
  <c r="E9" i="5"/>
  <c r="G9" i="5"/>
  <c r="M19" i="17" l="1"/>
  <c r="O19" i="17"/>
  <c r="E19" i="17"/>
  <c r="I19" i="17"/>
  <c r="K19" i="17"/>
  <c r="G19" i="17"/>
  <c r="I14" i="17"/>
  <c r="M20" i="17"/>
  <c r="G20" i="17"/>
  <c r="I20" i="17"/>
  <c r="K20" i="17"/>
  <c r="E20" i="17"/>
  <c r="M18" i="17"/>
  <c r="I18" i="17"/>
  <c r="G18" i="17"/>
  <c r="K18" i="17"/>
  <c r="M10" i="17"/>
  <c r="G15" i="17"/>
  <c r="K15" i="17"/>
  <c r="E15" i="17"/>
  <c r="M15" i="17"/>
  <c r="E17" i="17"/>
  <c r="G17" i="17"/>
  <c r="I17" i="17"/>
  <c r="K17" i="17"/>
  <c r="K13" i="17"/>
  <c r="G13" i="17"/>
  <c r="M13" i="17"/>
  <c r="E13" i="17"/>
  <c r="K12" i="17"/>
  <c r="M12" i="17"/>
  <c r="G12" i="17"/>
  <c r="E12" i="17"/>
  <c r="K11" i="17"/>
  <c r="G11" i="17"/>
  <c r="M11" i="17"/>
  <c r="I13" i="17"/>
  <c r="E11" i="17"/>
  <c r="I11" i="17"/>
  <c r="I10" i="5"/>
  <c r="E10" i="5"/>
  <c r="F11" i="1"/>
  <c r="C12" i="5" s="1"/>
  <c r="I17" i="19"/>
  <c r="H18" i="19"/>
  <c r="K15" i="14"/>
  <c r="I16" i="14"/>
  <c r="F12" i="1"/>
  <c r="M14" i="17" l="1"/>
  <c r="K14" i="17"/>
  <c r="E14" i="17"/>
  <c r="G14" i="17"/>
  <c r="G10" i="17"/>
  <c r="K10" i="17"/>
  <c r="I10" i="17"/>
  <c r="E10" i="17"/>
  <c r="I18" i="19"/>
  <c r="I17" i="14"/>
  <c r="K17" i="14" s="1"/>
  <c r="K16" i="14"/>
  <c r="I12" i="5"/>
  <c r="I13" i="5" s="1"/>
  <c r="G12" i="5"/>
  <c r="G13" i="5" s="1"/>
  <c r="E12" i="5"/>
  <c r="C13" i="5"/>
  <c r="I18" i="14" l="1"/>
  <c r="K18" i="14" s="1"/>
  <c r="H13" i="5"/>
  <c r="D9" i="5"/>
  <c r="D11" i="5"/>
  <c r="D10" i="5"/>
  <c r="E13" i="5"/>
  <c r="E14" i="5" s="1"/>
  <c r="D12" i="5"/>
  <c r="J13" i="5"/>
  <c r="D13" i="5" l="1"/>
  <c r="G14" i="5"/>
  <c r="I14" i="5" s="1"/>
  <c r="F13" i="5"/>
  <c r="F14" i="5" s="1"/>
  <c r="H14" i="5" s="1"/>
  <c r="J14" i="5" s="1"/>
  <c r="K13" i="5" l="1"/>
  <c r="I12" i="17" l="1"/>
  <c r="I15" i="17" l="1"/>
  <c r="M17" i="17" l="1"/>
  <c r="F20" i="18"/>
  <c r="F21" i="18" s="1"/>
  <c r="G19" i="18" l="1"/>
  <c r="G16" i="18"/>
  <c r="G20" i="18"/>
  <c r="G17" i="18"/>
  <c r="G10" i="18"/>
  <c r="G15" i="18"/>
  <c r="G9" i="18"/>
  <c r="G14" i="18"/>
  <c r="G18" i="18"/>
  <c r="G13" i="18"/>
  <c r="G8" i="18"/>
  <c r="G12" i="18"/>
  <c r="G11" i="18"/>
  <c r="C21" i="17"/>
  <c r="O21" i="17" s="1"/>
  <c r="G21" i="18" l="1"/>
  <c r="C22" i="17"/>
  <c r="D21" i="17" s="1"/>
  <c r="K21" i="17"/>
  <c r="K9" i="17" s="1"/>
  <c r="K22" i="17" s="1"/>
  <c r="G21" i="17"/>
  <c r="G9" i="17" s="1"/>
  <c r="G22" i="17" s="1"/>
  <c r="E21" i="17"/>
  <c r="M21" i="17"/>
  <c r="M9" i="17" s="1"/>
  <c r="M22" i="17" s="1"/>
  <c r="I21" i="17"/>
  <c r="I9" i="17" s="1"/>
  <c r="I22" i="17" s="1"/>
  <c r="Q9" i="17" l="1"/>
  <c r="O9" i="17"/>
  <c r="J22" i="17"/>
  <c r="H22" i="17"/>
  <c r="N22" i="17"/>
  <c r="L22" i="17"/>
  <c r="D19" i="17"/>
  <c r="D20" i="17"/>
  <c r="D9" i="17"/>
  <c r="D11" i="17"/>
  <c r="D18" i="17"/>
  <c r="D16" i="17"/>
  <c r="D12" i="17"/>
  <c r="D15" i="17"/>
  <c r="D13" i="17"/>
  <c r="D17" i="17"/>
  <c r="D10" i="17"/>
  <c r="D14" i="17"/>
  <c r="E9" i="17" l="1"/>
  <c r="E22" i="17" s="1"/>
  <c r="E23" i="17" s="1"/>
  <c r="O22" i="17"/>
  <c r="D22" i="17"/>
  <c r="P22" i="17" l="1"/>
  <c r="G23" i="17"/>
  <c r="I23" i="17" s="1"/>
  <c r="K23" i="17" s="1"/>
  <c r="M23" i="17" s="1"/>
  <c r="O23" i="17" s="1"/>
  <c r="F22" i="17"/>
  <c r="Q22" i="17" s="1"/>
  <c r="F23" i="17" l="1"/>
  <c r="H23" i="17" s="1"/>
  <c r="J23" i="17" s="1"/>
  <c r="L23" i="17" s="1"/>
  <c r="N23" i="17" s="1"/>
  <c r="P23" i="17" s="1"/>
</calcChain>
</file>

<file path=xl/sharedStrings.xml><?xml version="1.0" encoding="utf-8"?>
<sst xmlns="http://schemas.openxmlformats.org/spreadsheetml/2006/main" count="2817" uniqueCount="908">
  <si>
    <t>Obra:</t>
  </si>
  <si>
    <t>Proprietário:</t>
  </si>
  <si>
    <t>Local:</t>
  </si>
  <si>
    <t>Data:</t>
  </si>
  <si>
    <t>RESUMO ORÇAMENTO</t>
  </si>
  <si>
    <t>Item</t>
  </si>
  <si>
    <t>DESCRIÇÃO</t>
  </si>
  <si>
    <t>Valores totais</t>
  </si>
  <si>
    <t>1.0</t>
  </si>
  <si>
    <t>2.0</t>
  </si>
  <si>
    <t>3.0</t>
  </si>
  <si>
    <t>4.0</t>
  </si>
  <si>
    <t>TOTAL</t>
  </si>
  <si>
    <t>JOÃO GUSTAVO FARIA DOS SANTOS JÚNIOR</t>
  </si>
  <si>
    <t>ENG. CIVIL - CREA Nº 5064045506</t>
  </si>
  <si>
    <t>BASE DE PREÇOS</t>
  </si>
  <si>
    <t>BDI</t>
  </si>
  <si>
    <t>PLANILHA ORÇAMENTÁRIA</t>
  </si>
  <si>
    <t xml:space="preserve">Código </t>
  </si>
  <si>
    <t>Descrição</t>
  </si>
  <si>
    <t xml:space="preserve">Unid. </t>
  </si>
  <si>
    <t>Quant.</t>
  </si>
  <si>
    <t>Preço unitário (R$)</t>
  </si>
  <si>
    <t>Preço unitário  BDI (R$)</t>
  </si>
  <si>
    <t>Valor final (R$)</t>
  </si>
  <si>
    <t>SERVIÇOS PRELIMINARES</t>
  </si>
  <si>
    <t>1.1</t>
  </si>
  <si>
    <t>COMP.001</t>
  </si>
  <si>
    <t>PLACA DE OBRA EM CHAPA DE ACO GALVANIZADO</t>
  </si>
  <si>
    <t>m²</t>
  </si>
  <si>
    <t xml:space="preserve"> </t>
  </si>
  <si>
    <t>2.1</t>
  </si>
  <si>
    <t>m³</t>
  </si>
  <si>
    <t>2.2</t>
  </si>
  <si>
    <t>2.3</t>
  </si>
  <si>
    <t>2.4</t>
  </si>
  <si>
    <t>unid</t>
  </si>
  <si>
    <t>3.1</t>
  </si>
  <si>
    <t>3.2</t>
  </si>
  <si>
    <t>3.4</t>
  </si>
  <si>
    <t>3.5</t>
  </si>
  <si>
    <t>m</t>
  </si>
  <si>
    <t>UNID</t>
  </si>
  <si>
    <t>11.9</t>
  </si>
  <si>
    <t>11.10</t>
  </si>
  <si>
    <t>COMPOSIÇÃO 001</t>
  </si>
  <si>
    <t>M²</t>
  </si>
  <si>
    <t>SINAPI</t>
  </si>
  <si>
    <t>CÓDIGO</t>
  </si>
  <si>
    <t>COEFICIENTE</t>
  </si>
  <si>
    <t>VALOR UNIT (R$)</t>
  </si>
  <si>
    <t>VALOR (R$)</t>
  </si>
  <si>
    <t>INSUMO</t>
  </si>
  <si>
    <t>SARRAFO DE MADEIRA NAO APARELHADA *2,5 X 7* CM, MACARANDUBA, ANGELIM OU EQUIVALENTE DA REGIAO</t>
  </si>
  <si>
    <t>M</t>
  </si>
  <si>
    <t>1,0000000</t>
  </si>
  <si>
    <t>PONTALETE DE MADEIRA NAO APARELHADA *7,5 X 7,5* CM (3 X 3 ") PINUS, MISTA OU EQUIVALENTE DA REGIAO</t>
  </si>
  <si>
    <t>4,0000000</t>
  </si>
  <si>
    <t>PLACA DE OBRA (PARA CONSTRUCAO CIVIL) EM CHAPA GALVANIZADA *N. 22*, DE *2,0 X 1,125* M</t>
  </si>
  <si>
    <t>M2</t>
  </si>
  <si>
    <t>PREGO DE ACO POLIDO COM CABECA 18 X 30 (2 3/4 X 10)</t>
  </si>
  <si>
    <t>KG</t>
  </si>
  <si>
    <t>0,1100000</t>
  </si>
  <si>
    <t>COMPOSICAO</t>
  </si>
  <si>
    <t>CARPINTEIRO DE FORMAS COM ENCARGOS COMPLEMENTARES</t>
  </si>
  <si>
    <t>H</t>
  </si>
  <si>
    <t>SERVENTE COM ENCARGOS COMPLEMENTARES</t>
  </si>
  <si>
    <t>2,0000000</t>
  </si>
  <si>
    <t>CONCRETO MAGRO PARA LASTRO, TRAÇO 1:4,5:4,5 (CIMENTO/ AREIA MÉDIA/ BRITA 1)  - PREPARO MECÂNICO COM BETONEIRA 400 L. AF_07/2016</t>
  </si>
  <si>
    <t>M3</t>
  </si>
  <si>
    <t>0,0100000</t>
  </si>
  <si>
    <t>TOTAL:</t>
  </si>
  <si>
    <t>COMPOSIÇÃO 002</t>
  </si>
  <si>
    <t>M³</t>
  </si>
  <si>
    <t>ITEM</t>
  </si>
  <si>
    <t>PEDREIRO COM ENCARGOS COMPLEMENTARES</t>
  </si>
  <si>
    <t>COMPOSIÇÃO 003</t>
  </si>
  <si>
    <t>UN</t>
  </si>
  <si>
    <t>CRONOGRAMA FÍSICO FINANCEIRO</t>
  </si>
  <si>
    <t>DESCRIÇÃO/ETAPA</t>
  </si>
  <si>
    <t>PERÍODO</t>
  </si>
  <si>
    <t>À EXECUTAR</t>
  </si>
  <si>
    <t>MÊS 01</t>
  </si>
  <si>
    <t>MÊS 02</t>
  </si>
  <si>
    <t>MÊS 03</t>
  </si>
  <si>
    <t>Valor (R$)</t>
  </si>
  <si>
    <t>%</t>
  </si>
  <si>
    <t>VALOR TOTAL</t>
  </si>
  <si>
    <t>VALOR ACUMULADO</t>
  </si>
  <si>
    <t>MOVIMENTAÇÃO DE TERRA</t>
  </si>
  <si>
    <t>ESCAVAÇÃO MECANIZADA DE VALA COM PROF. MAIOR QUE 1,5 M ATÉ 3,0 M (MÉDIA ENTRE MONTANTE E JUSANTE/UMA COMPOSIÇÃO POR TRECHO), COM ESCAVADEIRA HIDRÁULICA (0,8 M3/111 HP), LARGURA ATÉ 1,5 M, EM SOLO DE 1A CATEGORIA, EM LOCAIS COM ALTO NÍVEL DE INTERFERÊNCIA. AF_02/2021</t>
  </si>
  <si>
    <t>ESCORAMENTO DE VALA, TIPO PONTALETEAMENTO, COM PROFUNDIDADE DE 1,5 A 3,0 M, LARGURA MENOR QUE 1,5 M. AF_08/2020</t>
  </si>
  <si>
    <t>PREPARO DE FUNDO DE VALA COM LARGURA MENOR QUE 1,5 M, COM CAMADA DE AREIA, LANÇAMENTO MECANIZADO. AF_08/2020</t>
  </si>
  <si>
    <t>REATERRO MECANIZADO DE VALA COM ESCAVADEIRA HIDRÁULICA (CAPACIDADE DA CAÇAMBA: 0,8 M³ / POTÊNCIA: 111 HP), LARGURA ATÉ 1,5 M, PROFUNDIDADE DE 1,5 A 3,0 M, COM SOLO DE 1ª CATEGORIA EM LOCAIS COM ALTO NÍVEL DE INTERFERÊNCIA. AF_04/2016</t>
  </si>
  <si>
    <t>REDE DE DRENAGEM</t>
  </si>
  <si>
    <t>ASSENTAMENTO DE TUBOS</t>
  </si>
  <si>
    <t>REDES PRINCIPAIS</t>
  </si>
  <si>
    <t>LIGAÇÕES DE BOCA DE LOBO COM PV'S</t>
  </si>
  <si>
    <t>TUBO DE CONCRETO PARA REDES COLETORAS DE ÁGUAS PLUVIAIS, DIÂMETRO DE 400 MM, JUNTA RÍGIDA, INSTALADO EM LOCAL COM ALTO NÍVEL DE INTERFERÊNCIAS - FORNECIMENTO E ASSENTAMENTO. AF_12/2015=</t>
  </si>
  <si>
    <t>DISPOSITIVOS DE DRENAGEM</t>
  </si>
  <si>
    <t>POÇOS DE VISITA</t>
  </si>
  <si>
    <t>COMP. 003</t>
  </si>
  <si>
    <t>DISPOSITIVOS COLETORES - BOCA DE LOBO</t>
  </si>
  <si>
    <t>DISSIPADORES DE ENERGIA</t>
  </si>
  <si>
    <t>TRANSPORTE</t>
  </si>
  <si>
    <t>ARGAMASSA TRAÇO 1:4 (EM VOLUME DE CIMENTO E AREIA GROSSA ÚMIDA) PARA CHAPISCO CONVENCIONAL, PREPARO MECÂNICO COM BETONEIRA 400 L. AF_08/2019</t>
  </si>
  <si>
    <t>TAMPÃO FOFO ARTICULADO D=600 MM, INSTALADO EM CHAMINÉ PARA DE POÇO DE VISITA</t>
  </si>
  <si>
    <t>BASE DE PREÇO</t>
  </si>
  <si>
    <t>COMP. PRÓPRIA</t>
  </si>
  <si>
    <t>SICRO</t>
  </si>
  <si>
    <t>CHAMINÉ CIRCULAR PARA POÇO DE VISITA PARA ESGOTO, EM ALVENARIA COM TIJOLOS CERÂMICOS MACIÇOS, DIÂMETRO INTERNO = 0,6 M. AF_12/2020</t>
  </si>
  <si>
    <t>Boca de lobo simples - BLS 01 - areia e brita comerciais</t>
  </si>
  <si>
    <t>1.2</t>
  </si>
  <si>
    <t>EXECUÇÃO DE DEPÓSITO EM CANTEIRO DE OBRA EM CHAPA DE MADEIRA COMPENSADA, NÃO INCLUSO MOBILIÁRIO. AF_04/2016</t>
  </si>
  <si>
    <t>TRANSPORTE DE AREIA</t>
  </si>
  <si>
    <t>TRANSPORTE DE TUBOS DE CONCRETO</t>
  </si>
  <si>
    <t>ADMINISTRAÇÃO DA OBRA</t>
  </si>
  <si>
    <t>1.3</t>
  </si>
  <si>
    <t>mês</t>
  </si>
  <si>
    <t>ENGENHEIRO CIVIL DE OBRA PLENO COM ENCARGOS COMPLEMENTARES</t>
  </si>
  <si>
    <t>ENCARREGADO GERAL COM ENCARGOS COMPLEMENTARES</t>
  </si>
  <si>
    <t>TOPOGRAFO COM ENCARGOS COMPLEMENTARES</t>
  </si>
  <si>
    <t>TAMPAO FOFO ARTICULADO, CLASSE B125 CARGA MAX 12,5 T, REDONDO TAMPA 600 MM, REDE PLUVIAL/ESGOTO</t>
  </si>
  <si>
    <t>MÊS</t>
  </si>
  <si>
    <t>TAMPÃO FOFO ARTICULADO PARA CHAMINÉ DE POÇO DE VISITA</t>
  </si>
  <si>
    <t>2.5</t>
  </si>
  <si>
    <t>ESCAVAÇÃO MECANIZADA DE VALA COM PROF. MAIOR QUE 1,50 M ATÉ 3,0 M (MÉDIA ENTRE MONTANTE E JUSANTE/UMA COMPOSIÇÃO POR TRECHO), COM ESCAVADEIRA HIDRÁULICA (1,2 M3/155 HP), LARG. DE 1,5 M A 2,5 M, EM SOLO DE 1A CATEGORIA, EM LOCAIS COM ALTO NÍVEL DE INTERFERÊNCIA. AF_02/2021</t>
  </si>
  <si>
    <t>ESCORAMENTO DE VALA, TIPO PONTALETEAMENTO, COM PROFUNDIDADE DE 1,5 A 3,0 M, LARGURA MAIOR OU IGUAL A 1,5 M E MENOR QUE 2,5 M. AF_08/2020</t>
  </si>
  <si>
    <t>PREPARO DE FUNDO DE VALA COM LARGURA MAIOR OU IGUAL A 1,5 M E MENOR QUE 2,5 M, COM CAMADA DE AREIA, LANÇAMENTO MECANIZADO. AF_08/2020</t>
  </si>
  <si>
    <t>REATERRO MECANIZADO DE VALA COM ESCAVADEIRA HIDRÁULICA (CAPACIDADE DA CAÇAMBA: 0,8 M³ / POTÊNCIA: 111 HP), LARGURA DE 1,5 A 2,5 M, PROFUNDIDADE DE 1,5 A 3,0 M, COM SOLO DE 1ª CATEGORIA EM LOCAIS COM ALTO NÍVEL DE INTERFERÊNCIA. AF_04/2016</t>
  </si>
  <si>
    <t>TUBO DE CONCRETO PARA REDES COLETORAS DE ÁGUAS PLUVIAIS, DIÂMETRO DE 1000 MM, JUNTA RÍGIDA, INSTALADO EM LOCAL COM ALTO NÍVEL DE INTERFERÊNCIAS - FORNECIMENTO E ASSENTAMENTO. AF_12/2015</t>
  </si>
  <si>
    <t>TUBO DE CONCRETO PARA REDES COLETORAS DE ÁGUAS PLUVIAIS, DIÂMETRO DE 1500 MM, JUNTA RÍGIDA, INSTALADO EM LOCAL COM ALTO NÍVEL DE INTERFERÊNCIAS - FORNECIMENTO E ASSENTAMENTO. AF_12/2015</t>
  </si>
  <si>
    <t>Poço de visita - PVI 04 - areia e brita comerciais</t>
  </si>
  <si>
    <t>Poço de visita - PVI 06 - areia e brita comerciais</t>
  </si>
  <si>
    <t>Dissipador de energia - DEB 07 - areia e pedra de mão comerciais</t>
  </si>
  <si>
    <t>TRANSPORTE COM CAMINHÃO BASCULANTE DE 14 M³, EM VIA URBANA PAVIMENTADA, DMT ATÉ 30 KM (UNIDADE: TXKM). AF_07/2020</t>
  </si>
  <si>
    <t>TRANSPORTE COM CAMINHÃO CARROCERIA COM GUINDAUTO (MUNCK), MOMENTO MÁXIMO DE CARGA
11,7 TM, EM VIA URBANA PAVIMENTADA, DMT ATÉ 30KM (UNIDADE: TXKM). AF_07/2020</t>
  </si>
  <si>
    <t>RESPONSÁVEL TÉCNICO ORÇAMENTISTA</t>
  </si>
  <si>
    <t>CONTRATANTE</t>
  </si>
  <si>
    <t>PREFEITO MUNICIPAL</t>
  </si>
  <si>
    <t>PREFEITURA MUNICIPAL DE INDIAVAÍ</t>
  </si>
  <si>
    <t>VALOR TOTAL:</t>
  </si>
  <si>
    <t>OBSERVAÇÕES:</t>
  </si>
  <si>
    <t>SICRO JAN/2021</t>
  </si>
  <si>
    <t>SINAPI 06/2021</t>
  </si>
  <si>
    <t>Construção de rede de drenagem pluvial</t>
  </si>
  <si>
    <t>Prefeitura Municipal de Indiavaí</t>
  </si>
  <si>
    <t>30 de julho de 2021</t>
  </si>
  <si>
    <t>OBSERVAÇÕES</t>
  </si>
  <si>
    <t>TRECHO</t>
  </si>
  <si>
    <t>T1</t>
  </si>
  <si>
    <t>DIÂMETRO (MM)</t>
  </si>
  <si>
    <t>LARGURA DE ESCAVAÇÃO (M)</t>
  </si>
  <si>
    <t>EXTENSÃO (M)</t>
  </si>
  <si>
    <t>ESP. BERÇO DE AREIA (M)</t>
  </si>
  <si>
    <t>PROFUNDIDADE MON. (M)</t>
  </si>
  <si>
    <t>PROFUNDIDADE JUS. (M)</t>
  </si>
  <si>
    <t>VOL. BERÇO DE AREIA (M³)</t>
  </si>
  <si>
    <t>VOL. ESCAVAÇÃO (M³)</t>
  </si>
  <si>
    <t>VOL. REATERRO (M³)</t>
  </si>
  <si>
    <t>ÁREA ESCORAMENTO (M²)</t>
  </si>
  <si>
    <t>ESP. PAREDE DE TUBO (M)</t>
  </si>
  <si>
    <t>T2</t>
  </si>
  <si>
    <t>T3</t>
  </si>
  <si>
    <t>T4</t>
  </si>
  <si>
    <t>T5</t>
  </si>
  <si>
    <t>T6</t>
  </si>
  <si>
    <t>T7</t>
  </si>
  <si>
    <t>T8</t>
  </si>
  <si>
    <t>T9</t>
  </si>
  <si>
    <t>TOTAIS:</t>
  </si>
  <si>
    <t>CÁLCULO DE VOLUMES TUBOS COLETORES (BL - PV)</t>
  </si>
  <si>
    <t>INCLINAÇÃO (%)</t>
  </si>
  <si>
    <t>PV-1</t>
  </si>
  <si>
    <t>TIPO</t>
  </si>
  <si>
    <t>PVI06</t>
  </si>
  <si>
    <t>PROF. PV (M)</t>
  </si>
  <si>
    <t>COMP. PV (M)</t>
  </si>
  <si>
    <t>LARG. PV (M)</t>
  </si>
  <si>
    <t>PROF. ESCAVAÇÃO PV (M)</t>
  </si>
  <si>
    <t>COMP. ESCAVAÇÃO PV (M)</t>
  </si>
  <si>
    <t>LARG. ESCAVAÇÃO PV (M)</t>
  </si>
  <si>
    <t>ALTURA DE CHAMINÉ (M)</t>
  </si>
  <si>
    <t>PV-2</t>
  </si>
  <si>
    <t>PV-3</t>
  </si>
  <si>
    <t>PV-4</t>
  </si>
  <si>
    <t>PV-5</t>
  </si>
  <si>
    <t>PV-6</t>
  </si>
  <si>
    <t>PV-7</t>
  </si>
  <si>
    <t>PV-8</t>
  </si>
  <si>
    <t>PV-9</t>
  </si>
  <si>
    <t>QUANT. (UNID)</t>
  </si>
  <si>
    <t>PROF. BL (M)</t>
  </si>
  <si>
    <t>COMP. BL (M)</t>
  </si>
  <si>
    <t>LARG. BL (M)</t>
  </si>
  <si>
    <t>BLS01</t>
  </si>
  <si>
    <t>CÁLCULO DE VOLUMES BOCAS DE LOBO</t>
  </si>
  <si>
    <t>CÁLCULO DE VOLUMES POÇOS DE VISITA</t>
  </si>
  <si>
    <t>CÁLCULO DE VOLUMES E ESCORAMENTO - TRECHOS DE DRENAGEM</t>
  </si>
  <si>
    <t xml:space="preserve">PESO ESPECÍFICO (TXUN) </t>
  </si>
  <si>
    <t>PESO TOTAL (T)</t>
  </si>
  <si>
    <t>MOMENTO DE TRANSPORTE (TXKM)</t>
  </si>
  <si>
    <t>TRANSPORTE DE TUBOS</t>
  </si>
  <si>
    <t>VOLUME DE AREIA (M³)</t>
  </si>
  <si>
    <t>PESO ESPECÍFICO (TXM³)</t>
  </si>
  <si>
    <t>TUBOS</t>
  </si>
  <si>
    <t>DISTÂNCIAS MÉDIAS DE TRANSPORTE</t>
  </si>
  <si>
    <t>DIST. (KM)</t>
  </si>
  <si>
    <t>COMP.002</t>
  </si>
  <si>
    <t>SINAPI - ENCARGOS SOCIAIS DESONERADOS: 83,92%(HORA) 48,10%(MÊS)</t>
  </si>
  <si>
    <t>Não desonerado</t>
  </si>
  <si>
    <t>PIS</t>
  </si>
  <si>
    <t xml:space="preserve"> BDI CALCULADO (%)</t>
  </si>
  <si>
    <t>1.4</t>
  </si>
  <si>
    <t>LOCAÇÃO DE REDE DE ÁGUA OU ESGOTO. AF_10/2018</t>
  </si>
  <si>
    <t>DIÂMETRO (M)</t>
  </si>
  <si>
    <t>T10</t>
  </si>
  <si>
    <t>PV-10</t>
  </si>
  <si>
    <t>PVI04</t>
  </si>
  <si>
    <t>txkm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</si>
  <si>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</si>
  <si>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</si>
  <si>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</si>
  <si>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</si>
  <si>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</si>
  <si>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</si>
  <si>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</si>
  <si>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</si>
  <si>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</si>
  <si>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</si>
  <si>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</si>
  <si>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</si>
  <si>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</si>
  <si>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T24</t>
  </si>
  <si>
    <t>Avenida Governador Jayme Campos</t>
  </si>
  <si>
    <t>UM MILHÃO, TREZENTOS E VINTE E SETE MIL, QUATROCENTOS E VINTE E UM REAIS E NOVENTA E UM CENTAVOS.</t>
  </si>
  <si>
    <t>COTA MON (M)</t>
  </si>
  <si>
    <t>COTA JUS (M)</t>
  </si>
  <si>
    <t>INCLINAÇÃO (M/M)</t>
  </si>
  <si>
    <t>ÁREAS DE CONTRIBUIÇÃO (HA)</t>
  </si>
  <si>
    <t>DADOS</t>
  </si>
  <si>
    <t>C</t>
  </si>
  <si>
    <t>i</t>
  </si>
  <si>
    <t>MANNING</t>
  </si>
  <si>
    <t>Q/Qp</t>
  </si>
  <si>
    <t>y/d</t>
  </si>
  <si>
    <t>v/vp</t>
  </si>
  <si>
    <t>y (M)</t>
  </si>
  <si>
    <t>V PLENA (M/S)</t>
  </si>
  <si>
    <t>V REAL (M/S)</t>
  </si>
  <si>
    <t>VAZÃO PLENA -TUBO (M³/S)</t>
  </si>
  <si>
    <t>TEMPO DE CONCENTRAÇÃO</t>
  </si>
  <si>
    <t>PERÍODO DE RETORNO</t>
  </si>
  <si>
    <t>10 ANOS</t>
  </si>
  <si>
    <t>15 MINUTOS</t>
  </si>
  <si>
    <t>VAZÃO SARJETAS TRECHO (M³/S)</t>
  </si>
  <si>
    <t>VAZÃO SARJETAS ACUM. (M³/S)</t>
  </si>
  <si>
    <t>VERIFICAÇÃO VEL.</t>
  </si>
  <si>
    <t>VERIFICAÇÃO DIMENS.</t>
  </si>
  <si>
    <t>CÁLCULO DE VERIFICAÇÃO DE VAZÕES, VELOCIDADES E DIMENSIONAMENTOS</t>
  </si>
  <si>
    <t>BDI - SERVIÇOS</t>
  </si>
  <si>
    <t>DIÂMETRO CALCULADO (M)</t>
  </si>
  <si>
    <t>DIÂMETRO COMERCIAL (M)</t>
  </si>
  <si>
    <t xml:space="preserve">VERIFICAÇÃO </t>
  </si>
  <si>
    <t>PRÓX. DIÂMETRO COMERCIAL (M)</t>
  </si>
  <si>
    <t>VERIFICAÇÃO</t>
  </si>
  <si>
    <t>-</t>
  </si>
  <si>
    <t>CÁLCULO DE DIMENSIONAMENTO DE TUBOS</t>
  </si>
  <si>
    <t>NÃO HAVERÁ DIMINUIÇÃO DE DIÂMETRO DURANTE O PERCURSO DE REDE.</t>
  </si>
  <si>
    <t>DEVIDO A RISCOS DE ENTUPIMENTO NÃO SERÃO USADOS TUBOS COM DIÂMETROS INFERIORES A 60 CM NAS REDES PRINCIPAIS.</t>
  </si>
  <si>
    <t xml:space="preserve">FÓRMULA: </t>
  </si>
  <si>
    <t>RESPONSÁVEL TÉCNICO ORÇAMENTISTA:</t>
  </si>
  <si>
    <t>CÁLCULO DE QUANTIDADES E TRANSPORTES - DMT ATÉ 30 KM</t>
  </si>
  <si>
    <t>CÁLCULO DE QUANTIDADES E TRANSPORTES - DMT ACIMA DE 30 KM</t>
  </si>
  <si>
    <t xml:space="preserve">DMT ATÉ A CIDADE DE MIRASSOL D'OESTE/MT. </t>
  </si>
  <si>
    <t>BDI - BENEFÍCIOS DE DESPESAS INDIRETAS - SERVIÇO</t>
  </si>
  <si>
    <t>SINAPI - SERVIÇO</t>
  </si>
  <si>
    <t>ADMINISTRAÇÃO LOCAL DE OBRA</t>
  </si>
  <si>
    <t>CHAPISCO APLICADO EM ALVENARIAS E ESTRUTURAS DE CONCRETO INTERNAS, COM COLHER DE PEDREIRO. ARGAMASSA TRAÇO 1:3 COM PREPARO EM BETONEIRA 400 L. AF_06/2014</t>
  </si>
  <si>
    <t>5.0</t>
  </si>
  <si>
    <t>PISOS</t>
  </si>
  <si>
    <t>9.0</t>
  </si>
  <si>
    <t>6.0</t>
  </si>
  <si>
    <t>4.1</t>
  </si>
  <si>
    <t>7.0</t>
  </si>
  <si>
    <t>8.0</t>
  </si>
  <si>
    <t>VALORES TOTAIS</t>
  </si>
  <si>
    <t>PESO</t>
  </si>
  <si>
    <t>88316</t>
  </si>
  <si>
    <t>88309</t>
  </si>
  <si>
    <t>CHP</t>
  </si>
  <si>
    <t>CHI</t>
  </si>
  <si>
    <t>COMPOSIÇÕES GERAIS DE ORÇAMENTOS</t>
  </si>
  <si>
    <t>MESTRE DE OBRAS COM ENCARGOS COMPLEMENTARES</t>
  </si>
  <si>
    <t>ENGENHEIRO CIVIL DE OBRA JUNIOR COM ENCARGOS COMPLEMENTARES</t>
  </si>
  <si>
    <t>BOLETIM</t>
  </si>
  <si>
    <t>30 DIAS</t>
  </si>
  <si>
    <t>60 DIAS</t>
  </si>
  <si>
    <t>90 DIAS</t>
  </si>
  <si>
    <t>5.1</t>
  </si>
  <si>
    <t>JANELAS</t>
  </si>
  <si>
    <t xml:space="preserve">CRONOGRAMA FÍSICO FINANCEIRO </t>
  </si>
  <si>
    <t>ADMINISTRAÇÃO DE OBRA</t>
  </si>
  <si>
    <t xml:space="preserve">RESUMO ORÇAMENTO </t>
  </si>
  <si>
    <t>Itens relativos à Administração da Obra</t>
  </si>
  <si>
    <t>DF - CUSTOS FINANCEIROS</t>
  </si>
  <si>
    <t>AC - ADMINISTRAÇÃO CENTRAL</t>
  </si>
  <si>
    <t>S - SEGUROS E GARANTIAS</t>
  </si>
  <si>
    <t>Sub-total</t>
  </si>
  <si>
    <t>Lucro</t>
  </si>
  <si>
    <t>L - Lucro/Remuneração</t>
  </si>
  <si>
    <t>I - Taxas e Impostos</t>
  </si>
  <si>
    <t>COFINS</t>
  </si>
  <si>
    <t>ISSQN</t>
  </si>
  <si>
    <t>R - RISCOS</t>
  </si>
  <si>
    <t>EXECUÇÃO DE PASSEIO (CALÇADA) OU PISO DE CONCRETO COM CONCRETO MOLDADO IN LOCO, FEITO EM OBRA, ACABAMENTO CONVENCIONAL, NÃO ARMADO. AF_08/2022</t>
  </si>
  <si>
    <t>BDI CALCULADO CONFORME ACÓRDÃO Nº 2623/2013 - TCU.</t>
  </si>
  <si>
    <t>120 DIAS</t>
  </si>
  <si>
    <t>CHAPISCO E REBOCO</t>
  </si>
  <si>
    <t>10.0</t>
  </si>
  <si>
    <t>11.0</t>
  </si>
  <si>
    <t>12.0</t>
  </si>
  <si>
    <t>13.0</t>
  </si>
  <si>
    <t>150 DIAS</t>
  </si>
  <si>
    <t>ALVENARIAS E FECHAMENTOS</t>
  </si>
  <si>
    <t>INSTALAÇÕES HIDROSSANITÁRIAS</t>
  </si>
  <si>
    <t>JOELHO 90 GRAUS, PVC, SOLDÁVEL, DN 25MM, INSTALADO EM RAMAL OU SUB-RAMAL DE ÁGUA - FORNECIMENTO E INSTALAÇÃO. AF_12/2014</t>
  </si>
  <si>
    <t>REGISTRO DE GAVETA BRUTO, LATÃO, ROSCÁVEL, 3/4", COM ACABAMENTO E CANOPLA CROMADOS - FORNECIMENTO E INSTALAÇÃO. AF_08/2021</t>
  </si>
  <si>
    <t>BANHEIROS</t>
  </si>
  <si>
    <t>TUBO PVC, SERIE NORMAL, ESGOTO PREDIAL, DN 50 MM, FORNECIDO E INSTALADO EM PRUMADA DE ESGOTO SANITÁRIO OU VENTILAÇÃO. AF_12/2014</t>
  </si>
  <si>
    <t>TUBO PVC, SERIE NORMAL, ESGOTO PREDIAL, DN 40 MM, FORNECIDO E INSTALADO EM RAMAL DE DESCARGA OU RAMAL DE ESGOTO SANITÁRIO. AF_12/2014</t>
  </si>
  <si>
    <t>JOELHO 90 GRAUS, PVC, SERIE NORMAL, ESGOTO PREDIAL, DN 40 MM, JUNTA SOLDÁVEL, FORNECIDO E INSTALADO EM RAMAL DE DESCARGA OU RAMAL DE ESGOTO SANITÁRIO. AF_12/2014</t>
  </si>
  <si>
    <t>88267</t>
  </si>
  <si>
    <t>ENCANADOR OU BOMBEIRO HIDRÁULICO COM ENCARGOS COMPLEMENTARES</t>
  </si>
  <si>
    <t>ORSE - SERVIÇO</t>
  </si>
  <si>
    <t>02450/ORSE</t>
  </si>
  <si>
    <t xml:space="preserve">LIMPEZA GERAL </t>
  </si>
  <si>
    <t xml:space="preserve">CONTRAPISO </t>
  </si>
  <si>
    <t>LOCAÇÃO CONVECIONAL DE OBRA, UTILIZANDO GABARITO DE TÁBUAS CORRIDAS PONTALENTADAS A CADA 2,00 M - DUAS UTILIZAÇÕES. AF_10/2018.</t>
  </si>
  <si>
    <t xml:space="preserve">FUNDAÇÃO </t>
  </si>
  <si>
    <t>ESCAVAÇÃO MANUAL PARA BLOCO DE COROAMENTO OU SAPATA (INCLUINDO ESCAVAÇÃO PARA COLOCAÇÃO DE FÔRMAS).AF_06/2017</t>
  </si>
  <si>
    <t xml:space="preserve">REATERRO MANUAL DE VALAS COM COMPACTAÇÃO MECANIZADA. AF_04/2016 </t>
  </si>
  <si>
    <t>FABRICAÇÃO, MONTAGEM E DESMONTAGEM DE FÔRMA PARA SAPATA, EM MADEIRA SERRADA, E=25 MM, 4 UTILIZAÇÕES. AF_06/2017</t>
  </si>
  <si>
    <t>kg</t>
  </si>
  <si>
    <t>CONCRETAGEM DE SAPATAS, FCK 25 MPA, COM USO DE JERICA LANÇAMENTO, ADENSAMENTO E ACABAMENTO.</t>
  </si>
  <si>
    <t>CONCRETAGEM DE BLOCOS DE COROAMENTO E VIGAS BALDRAMES, FCK 25 MPA, COM USO DE BOMBA - LANÇAMENTO, ADENSAMENTO E ACABAMENTO.</t>
  </si>
  <si>
    <t>SUPERESTRUTURA</t>
  </si>
  <si>
    <t>MONTAGEM E DESMONTAGEM DE FÔRMA DE PILARES RETANGULARES E ESTRUTURAS SIMILARES, PÉ-DIREITO SIMPLES, EM CHAPA DE MADEIRA COMPENSADA RESINADA, 4 UTILIZAÇÕES. AF_09/2020</t>
  </si>
  <si>
    <t>ARMAÇÃO DE PILAR OU VIGA DE ESTRUTURA CONVENCIONAL DE CONCRETO ARMADOUTILIZANDO AÇO CA-60 DE 5,0 MM - MONTAGEM. AF_06/2022</t>
  </si>
  <si>
    <t>ARMAÇÃO DE PILAR OU VIGA DE ESTRUTURA CONVENCIONAL DE CONCRETO ARMADO UTILIZANDO AÇO CA-50 DE 8,0 MM -MONTAGEM. AF_06/2022</t>
  </si>
  <si>
    <t>ARMAÇÃO DE PILAR OU VIGA DE ESTRUTURA CONVENCIONAL DE CONCRETO ARMADO UTILIZANDO AÇO CA-50 DE 10,0 MM -MONTAGEM. AF_06/2022</t>
  </si>
  <si>
    <t>IMPERMEABILIZAÇÃO</t>
  </si>
  <si>
    <t>ESTRUTURAS</t>
  </si>
  <si>
    <t>IMPERMEABILIZAÇÃO DE SUPERFÍCIE COM EMULSÃO ASFÁLTICA, 2 DEMÃOS. AF_09/2023</t>
  </si>
  <si>
    <t>VERGAS E CONTRAVERGAS</t>
  </si>
  <si>
    <t>ESQUADRIAS</t>
  </si>
  <si>
    <t>FORRO</t>
  </si>
  <si>
    <t>PINTURAS E CERÂMICAS EM ALVENARIAS</t>
  </si>
  <si>
    <t>CALÇADA</t>
  </si>
  <si>
    <t xml:space="preserve">INSTALAÇÕES ELÉTRICAS </t>
  </si>
  <si>
    <t>DISJUNTOR TRIPOLAR TIPO DIN, CORRENTE NOMINAL DE 16A - FORNECIMENTO E INSTALAÇÃO. AF_10/2020</t>
  </si>
  <si>
    <t>CAIXA ENTERRADA ELÉTRICA RETANGULAR, EM ALVENARIA COM TIJOLOS CERÂMICO S MACIÇOS, FUNDO COM BRITA, DIMENSÕES INTERNAS: 0,3X0,3X0,3 M. AF_12/2020</t>
  </si>
  <si>
    <t xml:space="preserve">PONTOS DE ENERGIA </t>
  </si>
  <si>
    <t>SERVIÇOS COMPLEMENTARES</t>
  </si>
  <si>
    <t>PINTURA LÁTEX ACRÍLICA PREMIUM, APLICAÇÃO MANUAL EM PAREDES, DUAS DEMÃOS. AF_04/2023</t>
  </si>
  <si>
    <t>ALIMENTAÇÃO</t>
  </si>
  <si>
    <t>TUBO, PVC, SOLDÁVEL, DN 25MM, INSTALADO EM RAMAL OU SUB-RAMAL DE ÁGUA- FORNECIMENTO E INSTALAÇÃO. AF_12/2014</t>
  </si>
  <si>
    <t xml:space="preserve">ÁGUA FRIA </t>
  </si>
  <si>
    <t>TE, PVC, SOLDÁVEL, DN 25MM, INSTALADO EM RAMAL OU SUB-RAMAL DE ÁGUA -FORNECIMENTO E INSTALAÇÃO. AF_12/2014</t>
  </si>
  <si>
    <t>TÊ DE REDUÇÃO, PVC, SOLDÁVEL, DN 50MM X 25MM, INSTALADO EM PRUMADA DEÁGUA - FORNECIMENTO E INSTALAÇÃO.AF_12/2014</t>
  </si>
  <si>
    <t>JOELHO 90 GRAUS COM BUCHA DE LATÃO, PVC, SOLDÁVEL, DN 25MM, X 3/4 INSTALADO EM RAMAL OU SUB-RAMAL DE ÁGUA - FORNECIMENTO E INSTALAÇÃO. AF_12/2014</t>
  </si>
  <si>
    <t xml:space="preserve">EQUIPAMENTOS HIDRÁULICOS </t>
  </si>
  <si>
    <t>VASO SANITÁRIO SIFONADO COM CAIXA ACOPLADA LOUÇA BRANCA - PADRÃO MÉDIO, INCLUSO ENGATE FLEXÍVEL EM METAL CROMADO, 1/2 X 40CM - FORNECIMENTO E INSTALAÇÃO. AF_01/2020</t>
  </si>
  <si>
    <t xml:space="preserve">INSTALAÇÕES SANITÁRIAS </t>
  </si>
  <si>
    <t>CAIXA ENTERRADA HIDRÁULICA RETANGULAR EM ALVENARIA COM TIJOLOS CERÂMICOS MACIÇOS, DIMENSÕES INTERNAS: 0,6X0,6X0,6 M PARA REDE DE ESGOTO. AF_12/2020</t>
  </si>
  <si>
    <t>CAIXA SIFONADA, COM GRELHA QUADRADA, PVC, DN 150 X 150 X 50 MM, JUNTA SOLDÁVEL, FORNECIDA E INSTALADA EM RAMAL DE DESCARGA OU EM RAMAL DE ESGOTO SANITÁRIO. AF_08/2022</t>
  </si>
  <si>
    <t xml:space="preserve"> CURVA CURTA 90 GRAUS, PVC, SERIE NORMAL, ESGOTO PREDIAL, DN 40 MM, JUNTA SOLDÁVEL, FORNECIDO E INSTALADO EM RAMAL DE DESCARGA OU RAMAL DE ESGOTO SANITÁRIO. AF_12/2014</t>
  </si>
  <si>
    <t>JOELHO 90 GRAUS, PVC, SERIE NORMAL, ESGOTO PREDIAL, DN 100 MM, JUNTA ELÁSTICA, FORNECIDO E INSTALADO EM RAMAL DE DESCARGA OU RAMAL DE ESGOTO SANITÁRIO. AF_12/2014</t>
  </si>
  <si>
    <t>JOELHO 90 GRAUS, PVC, SERIE NORMAL, ESGOTO PREDIAL, DN 50 MM, JUNTA ELÁSTICA, FORNECIDO E INSTALADO EM RAMAL DE DESCARGA OU RAMAL DE ESGOTO SANITÁRIO. AF_12/2014</t>
  </si>
  <si>
    <t>JUNÇÃO SIMPLES, PVC, SERIE NORMAL, ESGOTO PREDIAL, DN 100 X 50 MM, JUNTA ELÁSTICA, FORNECIDO E INSTALADO EM RAMAL DE DESCARGA OU RAMAL DE ESGOTO SANITÁRIO. AF_12/2014</t>
  </si>
  <si>
    <t>TUBO PVC, SERIE NORMAL, ESGOTO PREDIAL, DN 100 MM, FORNECIDO E INSTALADO EM RAMAL DE DESCARGA OU RAMAL DE ESGOTO SANITÁRIO. AF_12/2014</t>
  </si>
  <si>
    <t>REGISTRO DE PRESSÃO BRUTO, LATÃO, ROSCÁVEL, 3/4", COM ACABAMENTO E CANOPLA CROMADOS - FORNECIMENTO E INSTALAÇÃO. AF_08/2021</t>
  </si>
  <si>
    <t>RASGO LINEAR MANUAL EM ALVENARIA, PARA RAMAIS/ DISTRIBUIÇÃO DE INSTALAÇÕES HIDRÁULICAS, DIÂMETROS MENORES OU IGUAIS A 40 MM. AF_09/2023</t>
  </si>
  <si>
    <t>10.2</t>
  </si>
  <si>
    <t>10.3</t>
  </si>
  <si>
    <t>10.5</t>
  </si>
  <si>
    <t>10.6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</si>
  <si>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</si>
  <si>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</si>
  <si>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</si>
  <si>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</si>
  <si>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</si>
  <si>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</si>
  <si>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</si>
  <si>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</si>
  <si>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</si>
  <si>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</si>
  <si>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</si>
  <si>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</si>
  <si>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FOSSA E SUMIDOURO</t>
  </si>
  <si>
    <t>SUMIDOURO CIRCULAR, EM CONCRETO PRÉ-MOLDADO, DIÂMETRO INTERNO = 1,88 M , ALTURA INTERNA = 2,00 M, ÁREA DE INFILTRAÇÃO: 13,1 M² (PARA 5 CONTRIBUINTES). AF_12/2020_PA</t>
  </si>
  <si>
    <t>CAIXA DE GORDURA SIMPLES, CIRCULAR, EM CONCRETO PRÉ-MOLDADO, DIÂMETRO INTERNO = 0,4 M, ALTURA INTERNA = 0,4 M. AF_12/2020</t>
  </si>
  <si>
    <t>4,9060000</t>
  </si>
  <si>
    <t>3,2960000</t>
  </si>
  <si>
    <t>90586</t>
  </si>
  <si>
    <t>VIBRADOR DE IMERSÃO, DIÂMETRO DE PONTEIRA 45MM, MOTOR ELÉTRICO TRIFÁSICO POTÊNCIA DE 2 CV - CHP DIURNO. AF_06/2015</t>
  </si>
  <si>
    <t>0,4230000</t>
  </si>
  <si>
    <t>90587</t>
  </si>
  <si>
    <t>VIBRADOR DE IMERSÃO, DIÂMETRO DE PONTEIRA 45MM, MOTOR ELÉTRICO TRIFÁSICO POTÊNCIA DE 2 CV - CHI DIURNO. AF_06/2015</t>
  </si>
  <si>
    <t>1,2250000</t>
  </si>
  <si>
    <t>1,1500000</t>
  </si>
  <si>
    <t>REFERÊNCIA: 96556 -  SINAPI - 11/2023</t>
  </si>
  <si>
    <t>CONCRETO FCK = 25MPA, TRAÇO 1:2,3:2,7 (EM MASSA SECA DE CIMENTO/ AREIAMÉDIA/ BRITA 1) - PREPARO MECÂNICO COM BETONEIRA 600 L. AF_05/2021</t>
  </si>
  <si>
    <t>2,3860000</t>
  </si>
  <si>
    <t>2,4500000</t>
  </si>
  <si>
    <t>0,3140000</t>
  </si>
  <si>
    <t>0,9110000</t>
  </si>
  <si>
    <t>REFERÊNCIA: 96555 - SINAPI - 11/2023</t>
  </si>
  <si>
    <t>COMPOSIÇÃO 004</t>
  </si>
  <si>
    <t>301</t>
  </si>
  <si>
    <t>ANEL BORRACHA PARA TUBO ESGOTO PREDIAL, DN 100 MM (NBR 5688)</t>
  </si>
  <si>
    <t>3,0000000</t>
  </si>
  <si>
    <t>20078</t>
  </si>
  <si>
    <t>PASTA LUBRIFICANTE PARA TUBOS E CONEXOES COM JUNTA ELASTICA, EMBALAGEM DE *400* GR (USO EM PVC, ACO, POLIETILENO E OUTROS)</t>
  </si>
  <si>
    <t>0,1725000</t>
  </si>
  <si>
    <t>88248</t>
  </si>
  <si>
    <t>AUXILIAR DE ENCANADOR OU BOMBEIRO HIDRÁULICO COM ENCARGOS COMPLEMENTARES</t>
  </si>
  <si>
    <t>0,2568000</t>
  </si>
  <si>
    <t>REFERÊNCIA: 89797 -  SINAPI - 11/2023</t>
  </si>
  <si>
    <t>JUNCAO SIMPLES DE REDUCAO, PVC, DN 100 X 50 MM, SERIE NORMAL PARA ESGOTO PREDIAL</t>
  </si>
  <si>
    <t>MEMÓRIA DE CÁLCULO - CONSTRUÇÕES</t>
  </si>
  <si>
    <t>LOCAL</t>
  </si>
  <si>
    <t>ÁREAS</t>
  </si>
  <si>
    <t>TOTAL (M²)</t>
  </si>
  <si>
    <t>CONSTRUÇÃO NOVA</t>
  </si>
  <si>
    <t>SAPATAS, BLOCO E VIGAS BALDRAMES</t>
  </si>
  <si>
    <t>OBRA NOVA</t>
  </si>
  <si>
    <t>ESCAVAÇÃO SAPATA E BLOCO</t>
  </si>
  <si>
    <t>(((1,15*0,95*3)+(0,65*0,8)+(1,15*1,3*2)+(0,75*0,8*2)+(1,35*1,5)+(0,85*0,95)+(0,95*1,1*3)+(1,1*1,25*3)+(0,65*0,75)+(0,65*0,8*3)+(1,05*1,2*3)+(0,8*1)+(0,9*1,05)+(1,15*1,3)+(0,8*0,95))*1)+(1,79*1,79*1,95)</t>
  </si>
  <si>
    <t>(9,45+24,05+4,30+5,20+5,20+6,05+3,90+13,20+18,70+5,35+7,70+5,35+7,85+3,75+5,35+7,70+9,28+5,35+7,70+11,40+4,95+2,03+2,70+2,85+8,85)*0,25*0,40</t>
  </si>
  <si>
    <t>FUNDO VALA</t>
  </si>
  <si>
    <t>((1,15*0,95*3)+(0,65*0,8)+(1,15*1,3*2)+(0,75*0,8*2)+(1,35*1,5)+(0,85*0,95)+(0,95*1,1*3)+(1,1*1,25*3)+(0,65*0,75)+(0,65*0,8*3)+(1,05*1,2*3)+(0,8*1)+(0,9*1,05)+(1,15*1,3)+(0,8*0,95))+(1,79*1,79)</t>
  </si>
  <si>
    <t>((1,15*0,95*3)+(0,65*0,8)+(1,15*1,3*2)+(0,75*0,8*2)+(1,35*1,5)+(0,85*0,95)+(0,95*1,1*3)+(1,1*1,25*3)+(0,65*0,75)+(0,65*0,8*3)+(1,05*1,2*3)+(0,8*1)+(0,9*1,05)+(1,15*1,3)+(0,8*0,95))+(1,79*1,79)+((9,45+24,05+4,30+5,20+5,20+6,05+3,90+13,20+18,70+5,35+7,70+5,35+7,85+3,75+5,35+7,70+9,28+5,35+7,70+11,40+4,95+2,03+2,70+2,85+8,85)*0,25)</t>
  </si>
  <si>
    <t>LASTRO DE CONCRETO</t>
  </si>
  <si>
    <t>REATERRO VALA</t>
  </si>
  <si>
    <t>ESCAVAÇÃO VIGA BALDRAME</t>
  </si>
  <si>
    <t>(34,16+18,83)-(10,87+11,19)</t>
  </si>
  <si>
    <t>MONTAGEM E DESMONTAGEM DE FÔRMA DE VIGA, ESCORAMENTO COM GARFO DE MADEIRA, PÉ-DIREITO SIMPLES, EM CHAPA DE MADEIRA RESINADA, 6 UTILIZAÇÕES.AF_09/2020</t>
  </si>
  <si>
    <t>3.7</t>
  </si>
  <si>
    <t>3.9</t>
  </si>
  <si>
    <t>3.10</t>
  </si>
  <si>
    <t>3.13</t>
  </si>
  <si>
    <t>3.14</t>
  </si>
  <si>
    <t>3.15</t>
  </si>
  <si>
    <t>(((9,45+24,05+4,30+5,20+5,20+6,05+3,90+13,20+18,70+5,35+7,70+5,35+7,85+3,75+5,35+7,70+9,28+5,35+7,70+11,40+4,95+2,03+2,70+2,85+8,85))*0,30*2)+((9,45+24,05+4,30+5,20+5,20+6,05+3,90+13,20+18,70+5,35+7,70+5,35+7,85+3,75+5,35+7,70+9,28+5,35+7,70+11,40+4,95+2,03+2,70+2,85+8,85)*0,15)</t>
  </si>
  <si>
    <t xml:space="preserve">TOTAL </t>
  </si>
  <si>
    <t>Medidas de acordo com o Projeto Estrutural</t>
  </si>
  <si>
    <t>6.1</t>
  </si>
  <si>
    <t>6.2</t>
  </si>
  <si>
    <t>6.3</t>
  </si>
  <si>
    <t>7.1</t>
  </si>
  <si>
    <t>8.2</t>
  </si>
  <si>
    <t>8.3</t>
  </si>
  <si>
    <t>8.4</t>
  </si>
  <si>
    <t>3-ESTRUTURA DE CONCRETO ARMADO</t>
  </si>
  <si>
    <t>COBERTURA</t>
  </si>
  <si>
    <t>COMPOSIÇÃO 005</t>
  </si>
  <si>
    <t>ENTRADA DE ENERGIA ELÉTRICA, AÉREA, BIFÁSICA, COM CAIXA DE SOBREPOR, CABO DE 10 MM2 E DISJUNTOR DIN 50A - INCLUSO O POSTE DE CONCRETO. AF_07/2020_PS</t>
  </si>
  <si>
    <t>1094</t>
  </si>
  <si>
    <t>ARMACAO VERTICAL COM HASTE E CONTRA-PINO, EM CHAPA DE ACO GALVANIZADO 3/16", COM 1 ESTRIBO, SEM ISOLADOR</t>
  </si>
  <si>
    <t>3398</t>
  </si>
  <si>
    <t>ISOLADOR DE PORCELANA, TIPO ROLDANA, DIMENSOES DE *72* X *72* MM, PARA USO EM BAIXA TENSAO</t>
  </si>
  <si>
    <t>4346</t>
  </si>
  <si>
    <t>PARAFUSO DE FERRO POLIDO, SEXTAVADO, COM ROSCA PARCIAL, DIAMETRO 5/8", COMPRIMENTO 6", COM PORCA E ARRUELA DE PRESSAO MEDIA</t>
  </si>
  <si>
    <t>11267</t>
  </si>
  <si>
    <t>ARRUELA LISA, REDONDA, DE LATAO POLIDO, DIAMETRO NOMINAL 5/8", DIAMETRO EXTERNO = 34 MM, DIAMETRO DO FURO = 17 MM, ESPESSURA = *2,5* MM</t>
  </si>
  <si>
    <t>11864</t>
  </si>
  <si>
    <t>CONECTOR METALICO TIPO PARAFUSO FENDIDO (SPLIT BOLT), PARA CABOS ATE 95 MM2</t>
  </si>
  <si>
    <t>11950</t>
  </si>
  <si>
    <t>BUCHA DE NYLON SEM ABA S6, COM PARAFUSO DE 4,20 X 40 MM EM ACO ZINCADO COM ROSCA SOBERBA, CABECA CHATA E FENDA PHILLIPS</t>
  </si>
  <si>
    <t>14153</t>
  </si>
  <si>
    <t>FITA METALICA PERFURADA, L = *18* MM, ROLO DE 30 M, CARGA RECOMENDADA = *30* KGF</t>
  </si>
  <si>
    <t>0,0600000</t>
  </si>
  <si>
    <t>34643</t>
  </si>
  <si>
    <t>CAIXA DE INSPECAO PARA ATERRAMENTO E PARA RAIOS, EM POLIPROPILENO,  DIAMETRO = 300 MM X ALTURA = 400 MM</t>
  </si>
  <si>
    <t>39809</t>
  </si>
  <si>
    <t>CAIXA PARA MEDIDOR POLIFASICO, EM POLICARBONATO / TERMOPLASTICO, PARA ALOJAR 1 DISJUNTOR (PADRAO DA CONCESSIONARIA LOCAL)</t>
  </si>
  <si>
    <t>39996</t>
  </si>
  <si>
    <t>VERGALHAO ZINCADO ROSCA TOTAL, 1/4 " (6,3 MM)</t>
  </si>
  <si>
    <t>0,1664000</t>
  </si>
  <si>
    <t>39997</t>
  </si>
  <si>
    <t>PORCA ZINCADA, SEXTAVADA, DIAMETRO 1/4"</t>
  </si>
  <si>
    <t>88247</t>
  </si>
  <si>
    <t>AUXILIAR DE ELETRICISTA COM ENCARGOS COMPLEMENTARES</t>
  </si>
  <si>
    <t>0,3897000</t>
  </si>
  <si>
    <t>88264</t>
  </si>
  <si>
    <t>ELETRICISTA COM ENCARGOS COMPLEMENTARES</t>
  </si>
  <si>
    <t>3,5078000</t>
  </si>
  <si>
    <t>91872</t>
  </si>
  <si>
    <t>ELETRODUTO RÍGIDO ROSCÁVEL, PVC, DN 32 MM (1"), PARA CIRCUITOS TERMINAIS, INSTALADO EM PAREDE - FORNECIMENTO E INSTALAÇÃO. AF_03/2023</t>
  </si>
  <si>
    <t>6,0500000</t>
  </si>
  <si>
    <t>91885</t>
  </si>
  <si>
    <t>LUVA PARA ELETRODUTO, PVC, ROSCÁVEL, DN 32 MM (1"), PARA CIRCUITOS TERMINAIS, INSTALADA EM PAREDE - FORNECIMENTO E INSTALAÇÃO. AF_03/2023</t>
  </si>
  <si>
    <t>91917</t>
  </si>
  <si>
    <t>CURVA 90 GRAUS PARA ELETRODUTO, PVC, ROSCÁVEL, DN 32 MM (1"), PARA CIRCUITOS TERMINAIS, INSTALADA EM PAREDE - FORNECIMENTO E INSTALAÇÃO. AF_03/2023</t>
  </si>
  <si>
    <t>91919</t>
  </si>
  <si>
    <t>CURVA 180 GRAUS PARA ELETRODUTO, PVC, ROSCÁVEL, DN 32 MM (1"), PARA CIRCUITOS TERMINAIS, INSTALADA EM PAREDE - FORNECIMENTO E INSTALAÇÃO. AF_03/2023</t>
  </si>
  <si>
    <t>91933</t>
  </si>
  <si>
    <t>CABO DE COBRE FLEXÍVEL ISOLADO, 10 MM², ANTI-CHAMA 0,6/1,0 KV, PARA CIRCUITOS TERMINAIS - FORNECIMENTO E INSTALAÇÃO. AF_03/2023</t>
  </si>
  <si>
    <t>16,6500000</t>
  </si>
  <si>
    <t>93666</t>
  </si>
  <si>
    <t>DISJUNTOR BIPOLAR TIPO DIN, CORRENTE NOMINAL DE 50A - FORNECIMENTO E INSTALAÇÃO. AF_10/2020</t>
  </si>
  <si>
    <t>96977</t>
  </si>
  <si>
    <t>CORDOALHA DE COBRE NU 50 MM², ENTERRADA - FORNECIMENTO E INSTALAÇÃO. AF_08/2023</t>
  </si>
  <si>
    <t>1,9500000</t>
  </si>
  <si>
    <t>96986</t>
  </si>
  <si>
    <t>HASTE DE ATERRAMENTO, DIÂMETRO 3/4", COM 3 METROS - FORNECIMENTO E INSTALAÇÃO. AF_08/2023</t>
  </si>
  <si>
    <t>100578</t>
  </si>
  <si>
    <t>ASSENTAMENTO DE POSTE DE CONCRETO COM COMPRIMENTO NOMINAL DE 9 M, CARGA NOMINAL MENOR OU IGUAL A 1000 DAN, ENGASTAMENTO SIMPLES COM 1,5 M DE SOLO (NÃO INCLUI FORNECIMENTO). AF_11/2019</t>
  </si>
  <si>
    <t>REFERÊNCIA: 101497 -  SINAPI - 11/2023</t>
  </si>
  <si>
    <t>POSTE DE CONCRETO ARMADO DE SECAO DUPLO T, EXTENSAO DE 9,00 M, RESISTENCIA DE 150 DAN, TIPO D</t>
  </si>
  <si>
    <t>CABO DE COBRE FLEXÍVEL ISOLADO, 4 MM², ANTI-CHAMA 450/750 V, PARA CIRCUITOS TERMINAIS - FORNECIMENTO E INSTALAÇÃO. AF_03/2023</t>
  </si>
  <si>
    <t>CABO DE COBRE FLEXÍVEL ISOLADO, 2,5 MM², ANTI-CHAMA 450/750 V, PARA CIUITOS TERMINAIS - FORNECIMENTO E INSTALAÇÃO. AF_03/2023</t>
  </si>
  <si>
    <t>CABO DE COBRE FLEXÍVEL ISOLADO, 1,5 MM², ANTI-CHAMA 450/750 V, PARA CIUITOS TERMINAIS - FORNECIMENTO E INSTALAÇÃO. AF_03/2023</t>
  </si>
  <si>
    <t>11.3</t>
  </si>
  <si>
    <t>CAIXA RETANGULAR 4" X 2" BAIXA (0,30 M DO PISO), PVC, INSTALADA EM PAREDE - FORNECIMENTO E INSTALAÇÃO. AF_03/2023</t>
  </si>
  <si>
    <t>CAIXA OCTOGONAL 3" X 3", PVC, INSTALADA EM LAJE - FORNECIMENTO E INSTALAÇÃO. AF_03/2023</t>
  </si>
  <si>
    <t>INTERRUPTOR SIMPLES (1 MÓDULO) COM 1 TOMADA DE EMBUTIR 2P+T 10 A, INCLUINDO SUPORTE E PLACA - FORNECIMENTO E INSTALAÇÃO.AF_03/2023</t>
  </si>
  <si>
    <t>TOMADA BAIXA DE EMBUTIR (1 MÓDULO), 2P+T 10 A, INCLUINDO SUPORTE E PLACA - FORNECIMENTO E INSTALAÇÃO. 03/2023</t>
  </si>
  <si>
    <t>INTERRUPTOR SIMPLES (1 MÓDULO), 10A/250V, INCLUINDO SUPORTE E PLACA - FORNECIMENTO E INSTALAÇÃO. AF_03/2023</t>
  </si>
  <si>
    <t>COMPOSIÇÃO 006</t>
  </si>
  <si>
    <t>0,3700000</t>
  </si>
  <si>
    <t>REFERÊNCIA: 103798 -  SINAPI - 11/2023</t>
  </si>
  <si>
    <t>LUMINARIA SOBREPOR QUADRADA LED 40W</t>
  </si>
  <si>
    <t>DATA</t>
  </si>
  <si>
    <t>EMPRESA</t>
  </si>
  <si>
    <t>QUANT.</t>
  </si>
  <si>
    <t>TELEFONE</t>
  </si>
  <si>
    <t>INICIAL CONSTRUÇÕES</t>
  </si>
  <si>
    <t>J FREITAS ROCHA EIRELI</t>
  </si>
  <si>
    <t>MENOR VALOR:</t>
  </si>
  <si>
    <t>https://eletricaserpal.com.br/produto/26247-luminaria-led-painel-quadrada-embutir-40w-6500k?gad_source=1&amp;gclid=Cj0KCQiAqsitBhDlARIsAGMR1RjmcnunknDL8QP93By-exwRZZWAuA0xBTMC5oRU36l_yYc2Vc9pyrMaAqyGEALw_wcB</t>
  </si>
  <si>
    <t>SERPAL</t>
  </si>
  <si>
    <t>LINK</t>
  </si>
  <si>
    <t>(66) 3411-9600</t>
  </si>
  <si>
    <t xml:space="preserve"> (91) 99393-2345</t>
  </si>
  <si>
    <t>PLANETA ENERGIA</t>
  </si>
  <si>
    <t>https://www.planetaenergia.com.br/iluminacao/painel-embutir-ouro-lux-62x62-40w-6500k-bivolt?parceiro=4173&amp;gad_source=4&amp;gclid=Cj0KCQiAqsitBhDlARIsAGMR1RigKRu7mBFOwt4tr4pDryBTOhVvCeuY-v5Wgu_tJsxwV1WKWN8BIiwaAtHnEALw_wcB</t>
  </si>
  <si>
    <t>https://www.atacadaoled.com.br/painel-led-embutir-45w-quadrado-62x62cm-branco-4000k?parceiro=2650&amp;gad_source=4&amp;gclid=Cj0KCQiAqsitBhDlARIsAGMR1RhGACtYlfwwxMIYVQjWMhGe5_okF_qPPM8qRJdOF1tqxk-4LyWbf0oaAhZgEALw_wcB</t>
  </si>
  <si>
    <t>ATACADÃO LED</t>
  </si>
  <si>
    <t>(85) 3771-7600</t>
  </si>
  <si>
    <t xml:space="preserve"> LUMINÁRIA SOBREPOR QUADRADA LED 40W, 6500K - LEDVANCE OU SIMILAR </t>
  </si>
  <si>
    <t>FITA LED 5W/M, BRANCO QUENTE - INCLUSO FONTE AUTOMATICA</t>
  </si>
  <si>
    <t>https://eletricaserpal.com.br/produto/23925-fita-led-interna-4-8wm-3000k-12v-5-metros?gad_source=1&amp;gclid=Cj0KCQiAqsitBhDlARIsAGMR1Rj0Xp3CErCeAmZMBJn_PeX7AXU5GUjHzmy6ehbiYr_srN2pgkrX-uwaAgi7EALw_wcB</t>
  </si>
  <si>
    <t>FITA LED 5W/M, BRANCO QUENTE, ROLO 5 METROS</t>
  </si>
  <si>
    <t>(47) 99665-0219</t>
  </si>
  <si>
    <t>INSPIRE HOME</t>
  </si>
  <si>
    <t>VITAL LUZ</t>
  </si>
  <si>
    <t>https://www.vitaluz.com.br/fita-led-5-metros-interno-3000k-4-8w-m-12v-500cm-avant-192910534?utm_source=google&amp;utm_medium=Shopping&amp;utm_campaign=fita-led-5-metros-interno-3000k-4-8w-m-12v-500cm-avant-192910534&amp;inStock&amp;gad_source=1&amp;gclid=Cj0KCQiAqsitBhDlARIsAGMR1RhH-IWKB4SF0upUnOZv2y_L0fUBSeTW8tyb99Jm0UvMuT1DecveYbEaApp8EALw_wcB#derivacao=8</t>
  </si>
  <si>
    <t>(51) 98986-3126</t>
  </si>
  <si>
    <t>https://www.inspirehome.com.br/fita-led-eco-5-metros-interno-3000k-5w-m-12v-stella-sth7804-30/p?utm_source=google&amp;utm_medium=paid_pmax&amp;utm_campaign=PMAX_Revenda_Importado&amp;gad_source=1&amp;gclid=Cj0KCQiAqsitBhDlARIsAGMR1RivOROozZrddNMFCLHI6pg5qooZbM5zUoG538s5UnLbeWKjyJNBls8aAi2zEALw_wcB</t>
  </si>
  <si>
    <t>COTAÇÃO 01</t>
  </si>
  <si>
    <t>COTAÇÃO 02</t>
  </si>
  <si>
    <t>COTAÇÃO 03</t>
  </si>
  <si>
    <t>FONTE AUTOMATICA - DRIVER FITA LED</t>
  </si>
  <si>
    <t>https://www.inspirehome.com.br/fonte-driver-8a-96w-save-energy-se-300-2141/p?utm_source=google&amp;utm_medium=paid_pmax&amp;utm_campaign=PMAX_Revenda_Importado&amp;gad_source=1&amp;gclid=Cj0KCQiAqsitBhDlARIsAGMR1RhaRB_v6LVgme4k4lRaYIKBZmeXJ2ZGLXN0rYcQfQ7dM9KlEvTX0VoaAmnDEALw_wcB</t>
  </si>
  <si>
    <t>https://www.planetaenergia.com.br/iluminacao/driver-gaya-fita-12v-20a-200w?parceiro=4173&amp;gad_source=1&amp;gclid=Cj0KCQiAqsitBhDlARIsAGMR1RiW38pFXDFhKMMTevmhp2a6YuTfFrhnv1TUAfkuEv0PRi5w5Z-EtuwaAutEEALw_wcB</t>
  </si>
  <si>
    <t>https://www.portaleletrico.com.br/fonte-de-alimentacao-slim-12v-8a-96w-save-energy-8899/p?idsku=8937&amp;utm_source=&amp;utm_medium=&amp;utm_campaign=&amp;utm_content=&amp;gad_source=1&amp;gclid=Cj0KCQiAqsitBhDlARIsAGMR1RgdRy_JtYM6dJPFgR3zrmHrvOlrStog60d_bjkNbORNDY_2uTP4vm0aAlXEEALw_wcB</t>
  </si>
  <si>
    <t>PORTAL ELÉTRICO</t>
  </si>
  <si>
    <t xml:space="preserve">
19 98915-7056</t>
  </si>
  <si>
    <t>COMPOSIÇÃO 007</t>
  </si>
  <si>
    <t>OBRA</t>
  </si>
  <si>
    <t>RODAPÉ</t>
  </si>
  <si>
    <t>TOTAL (M)</t>
  </si>
  <si>
    <t>13.1</t>
  </si>
  <si>
    <t>PAREDES INTERNAS</t>
  </si>
  <si>
    <t>12.1</t>
  </si>
  <si>
    <t>ESTRUTURA METÁLICA EM PERFIL LAMINADO OU SOLDADO EM AÇO ESTRUTURAL, COM CONEXÕES SOLDADAS, INCLUSOS MÃO DE OBRA, TRANSPORTE E IÇAMENTO UTILIZANDO GUINDASTE - FORNECIMENTO E INSTALAÇÃO. AF_01/2020_PA</t>
  </si>
  <si>
    <t>COMPOSIÇÃO 008</t>
  </si>
  <si>
    <t>REFERÊNCIA: 100764 -  SINAPI - 11/2023</t>
  </si>
  <si>
    <t>0,0305480</t>
  </si>
  <si>
    <t>1,0910000</t>
  </si>
  <si>
    <t>88240</t>
  </si>
  <si>
    <t>AJUDANTE DE ESTRUTURA METÁLICA COM ENCARGOS COMPLEMENTARES</t>
  </si>
  <si>
    <t>0,0044000</t>
  </si>
  <si>
    <t>88278</t>
  </si>
  <si>
    <t>MONTADOR DE ESTRUTURA METÁLICA COM ENCARGOS COMPLEMENTARES</t>
  </si>
  <si>
    <t>0,0140000</t>
  </si>
  <si>
    <t>88317</t>
  </si>
  <si>
    <t>SOLDADOR COM ENCARGOS COMPLEMENTARES</t>
  </si>
  <si>
    <t>0,0181000</t>
  </si>
  <si>
    <t>93287</t>
  </si>
  <si>
    <t>GUINDASTE HIDRÁULICO AUTOPROPELIDO, COM LANÇA TELESCÓPICA 40 M, CAPACIDADE MÁXIMA 60 T, POTÊNCIA 260 KW - CHP DIURNO. AF_03/2016</t>
  </si>
  <si>
    <t>0,0040000</t>
  </si>
  <si>
    <t>93288</t>
  </si>
  <si>
    <t>GUINDASTE HIDRÁULICO AUTOPROPELIDO, COM LANÇA TELESCÓPICA 40 M, CAPACIDADE MÁXIMA 60 T, POTÊNCIA 260 KW - CHI DIURNO. AF_03/2016</t>
  </si>
  <si>
    <t>0,0037000</t>
  </si>
  <si>
    <t>100716</t>
  </si>
  <si>
    <t>JATEAMENTO ABRASIVO COM GRANALHA DE AÇO EM PERFIL METÁLICO EM FÁBRICA. AF_01/2020</t>
  </si>
  <si>
    <t>0,0358000</t>
  </si>
  <si>
    <t>100719</t>
  </si>
  <si>
    <t>PINTURA COM TINTA ALQUÍDICA DE FUNDO (TIPO ZARCÃO) PULVERIZADA SOBRE PERFIL METÁLICO EXECUTADO EM FÁBRICA (POR DEMÃO). AF_01/2020_PE</t>
  </si>
  <si>
    <t>PORTA DE CORRER DE ALUMÍNIO 2,50MX2,10M, PERFIL PRETO, COM QUATRO FOLHAS PARA VIDRO TEMPERADO DE 8MM, INCLUSO VIDRO LISO INCOLOR, FECHADURA E PUXADOR, SEM ALIZAR.- FORNECIMENTO E INSTALAÇÃO</t>
  </si>
  <si>
    <t>PORTA DE CORRER DE ALUMÍNIO 2,00MX2,10M, PERFIL PRETO, COM QUATRO FOLHAS PARA VIDRO TEMPERADO DE 8MM, INCLUSO VIDRO LISO INCOLOR, FECHADURA E PUXADOR, SEM ALIZAR.- FORNECIMENTO E INSTALAÇÃO</t>
  </si>
  <si>
    <t>MULTVIDROS - CNPJ:45.034.406/0001-23</t>
  </si>
  <si>
    <t>REPRESENTANTE</t>
  </si>
  <si>
    <t>RAFAEL BALBUENA</t>
  </si>
  <si>
    <t>(65) 99979-2074</t>
  </si>
  <si>
    <t>COT 04</t>
  </si>
  <si>
    <t>COTAÇÃO 04</t>
  </si>
  <si>
    <t>COTAÇÃO 05</t>
  </si>
  <si>
    <t>COT 05</t>
  </si>
  <si>
    <t>COT 06</t>
  </si>
  <si>
    <t>COTAÇÃO 06</t>
  </si>
  <si>
    <t>PORTÃO BASCULANTE, TODO FECHADO EM CHAPA METÁLICA PARA GARAGEM, MEDINDO 330X 240CM - FORNECIMENTO E INSTALAÇÃO.</t>
  </si>
  <si>
    <t>CHAPA DE ACO FINA A FRIO BITOLA MSG 26, E = 0,45 MM (3,60 KG/M2)</t>
  </si>
  <si>
    <t>PERFIL "U" EM CHAPA ACO DOBRADA, E = 3,04 MM, H = 20 CM, ABAS = 5 CM (4,47 KG/M)</t>
  </si>
  <si>
    <t>MAZALINS - CNPJ:12.161.440/0001-00</t>
  </si>
  <si>
    <t>ILSON LOPES</t>
  </si>
  <si>
    <t>(65) 99603-0728</t>
  </si>
  <si>
    <t>(65) 99621-9389</t>
  </si>
  <si>
    <t>ALÃ</t>
  </si>
  <si>
    <t>NÁDIA - CNPJ: 19.948.145/0001-47</t>
  </si>
  <si>
    <t xml:space="preserve">DELEI </t>
  </si>
  <si>
    <t>(65) 99986-9231</t>
  </si>
  <si>
    <t>METALTEC - CNPJ:18.396.023/0001-22</t>
  </si>
  <si>
    <t>SARA</t>
  </si>
  <si>
    <t>(65) 99991-4699</t>
  </si>
  <si>
    <t>WD MANUTENÇÃO - CNPJ:14.561.850/0001-73</t>
  </si>
  <si>
    <t>ARMAÇÃO DE SAPATA ISOLADA, VIGA BALDRAME E SAPATA CORRIDA UTILIZANDO AÇO CA-50 DE 8 MM - MONTAGEM. AF_01/2024</t>
  </si>
  <si>
    <t xml:space="preserve">REVESTIMENTO CERÂMICO </t>
  </si>
  <si>
    <t>PAREDES EXTERNAS</t>
  </si>
  <si>
    <t>PAREDES DE FACHADA - ALTURA CONSTANTE</t>
  </si>
  <si>
    <t>PAREDES DE FACHADA - INCLINADAS</t>
  </si>
  <si>
    <t>(18,2*1,14)/2+(2,20*0,27)/2*2+(13,95*0,87)/2</t>
  </si>
  <si>
    <t>DESCONTOS DE ESQUADRIAS E VÃOS</t>
  </si>
  <si>
    <t>TOTAL COM DESCONTOS</t>
  </si>
  <si>
    <t>4.1 - ALVENARIA DE VEDAÇÃO DE BLOCOS CERÂMICOS FURADOS NA HORIZONTAL DE 9X19 X19 CM (ESPESSURA 9 CM) E ARGAMASSA DE ASSENTAMENTO COM PREPARO EM BETONEIRA. AF_12/2021</t>
  </si>
  <si>
    <t>PAREDES GERAIS</t>
  </si>
  <si>
    <t>ÁREAS (ALVENARIA X 2)</t>
  </si>
  <si>
    <t>ÁREAS (ALVENARIA FACHADA + INCLINADA X 2)</t>
  </si>
  <si>
    <t>5.3</t>
  </si>
  <si>
    <t>((2,9+4,3+2,9+4,30+7,05*2+3,5*2)*3)-(3*2,1*2+1,6*0,6+0,8*2,1)</t>
  </si>
  <si>
    <t>((6,7*3*2+4*3*2)*2+(5*3*2+2,9*3*2))-(0,9*2,1*2+0,8*2,1+1,6*0,6*5)</t>
  </si>
  <si>
    <t>ÁREAS (ALVENARIA INTERNA)</t>
  </si>
  <si>
    <t>EMBOÇO, EM ARGAMASSA TRAÇO 1:2:8, PREPARO MECÂNICO, APLICADO MANUALMENTE EM PAREDES INTERNAS DE AMBIENTES COM ÁREA MAIOR QUE 10M², E = 10MM, COM TALISCAS. AF_03/2024</t>
  </si>
  <si>
    <t>CONTINUAÇÃO DE EMBOÇO EM PAREDES INTERNAS - ÁREA DE CERÂMICA NAS PAREDES</t>
  </si>
  <si>
    <t>ÁREA DE COBERTURA - CONFORME PROJETO</t>
  </si>
  <si>
    <t>2+2</t>
  </si>
  <si>
    <t>QUANTIDADE DE TESOURAS</t>
  </si>
  <si>
    <t>1+1</t>
  </si>
  <si>
    <t>TOTAL (UNID)</t>
  </si>
  <si>
    <t>LOCAIS DE COLOCAÇÃO DE FORROS</t>
  </si>
  <si>
    <t>26,8*2+14,5*2+24,675</t>
  </si>
  <si>
    <t>0,2*2+1,6+0,3*4+1,6+0,6*2</t>
  </si>
  <si>
    <t>0,8+0,6*2+0,9+0,6*2</t>
  </si>
  <si>
    <t>3+0,3+3,5+0,3</t>
  </si>
  <si>
    <t xml:space="preserve">ALVENARIAS </t>
  </si>
  <si>
    <t>KIT DE PORTA DE MADEIRA PARA PINTURA, SEMI-OCA (PESADA OU SUPERPESADA), PADRÃO MÉDIO, 80X210CM, ESPESSURA DE 3,5CM, ITENS INCLUSOS: DOBRADIÇAS, MONTAGEM E INSTALAÇÃO DO BATENTE, FECHADURA COM EXECUÇÃO DO FURO - FORNECIMENTO E INSTALAÇÃO. AF_12/2019</t>
  </si>
  <si>
    <t>8.8</t>
  </si>
  <si>
    <t>COMPRIMENTO</t>
  </si>
  <si>
    <t>ÁREA DE ESQUADRIA</t>
  </si>
  <si>
    <t>8*0,6*1,6</t>
  </si>
  <si>
    <t>3*2,1</t>
  </si>
  <si>
    <t>1,6*0,6*6</t>
  </si>
  <si>
    <t>(1,6*2+0,6*2)*6</t>
  </si>
  <si>
    <t>PERÍMETRO DE ESQUADRIAS</t>
  </si>
  <si>
    <t>PERÍMETRO DE PAREDES</t>
  </si>
  <si>
    <t>(2,9*2+5*2+7,05*2+3,5*2)-(0,8+3+3)</t>
  </si>
  <si>
    <t>PINTURA</t>
  </si>
  <si>
    <t>PAREDES EXTERNAS PINTURA E EMASSAMENTO</t>
  </si>
  <si>
    <t>PAREDES INTERNAS PINTURA E EMASSAMENTO</t>
  </si>
  <si>
    <t>PAREDES INTERNAS CERÂMICA</t>
  </si>
  <si>
    <t>REVESTIMENTO</t>
  </si>
  <si>
    <t xml:space="preserve">ALAMBRADO </t>
  </si>
  <si>
    <t>ALAMBRADOS DE CONCRETO - ALTURA 2 METROS</t>
  </si>
  <si>
    <t>ALAMBRADOS DE CONCRETO - ALTURA 8 METROS</t>
  </si>
  <si>
    <t>20*8*2</t>
  </si>
  <si>
    <t>(94,10+(81,9-20)+37,8+3,35+3,35+37,8+(81,9-20))*2</t>
  </si>
  <si>
    <t>LIMPEZA FINAL</t>
  </si>
  <si>
    <t>VOLUME</t>
  </si>
  <si>
    <t>TOTAL (M³)</t>
  </si>
  <si>
    <t>(8,45*2+2,2*2+3,05*2+15,7)*0,8*0,06</t>
  </si>
  <si>
    <t>18,2*3,73+13,8*4,16+(4*3,73+2,20*3,73+2,90*4,16)*2</t>
  </si>
  <si>
    <t>CONCRETO FCK = 30MPA, TRAÇO 1:2,1:2,5 (EM MASSA SECA DE CIMENTO/ AREIA MÉDIA/ BRITA 1) - PREPARO MECÂNICO COM BETONEIRA 600 L. AF_05/2021</t>
  </si>
  <si>
    <t>CONCRETAGEM DE SAPATA, FCK 30 MPA, COM USO DE BOMBA - LANÇAMENTO, ADENSAMENTO E ACABAMENTO. AF_01/2024</t>
  </si>
  <si>
    <t xml:space="preserve"> PILARES, VIGAS DE RESPALDO E LAJES</t>
  </si>
  <si>
    <t>LANÇAMENTO COM USO DE BALDES, ADENSAMENTO E ACABAMENTO DE CONCRETO EM ESTRUTURAS. AF_02/2022</t>
  </si>
  <si>
    <t>CONCRETO FCK = 25MPA, TRAÇO 1:2,3:2,7 (EM MASSA SECA DE CIMENTO/ AREIA MÉDIA/ BRITA 1) - PREPARO MECÂNICO COM BETONEIRA 600 L. AF_05/2021</t>
  </si>
  <si>
    <t>ALVENARIA DE VEDAÇÃO DE BLOCOS CERÂMICOS FURADOS NA HORIZONTAL DE 11,5X19 X19 CM (ESPESSURA 11,5 CM) E ARGAMASSA DE ASSENTAMENTO COM PREPARO EM BETONEIRA. AF_12/2021</t>
  </si>
  <si>
    <t>PORTAS DE ALUMÍNIO</t>
  </si>
  <si>
    <t>PORTAS DE MADEIRA</t>
  </si>
  <si>
    <t>CHUVEIRO ELÉTRICO</t>
  </si>
  <si>
    <t>COZINHA</t>
  </si>
  <si>
    <t>BANCADA DE GRANITO CINZA POLIDO, DE 1,50 X 0,60 M, PARA PIA DE COZINHA - FORNECIMENTO E INSTALAÇÃO. AF_01/2020</t>
  </si>
  <si>
    <t>CUBA DE EMBUTIR RETANGULAR DE AÇO INOXIDÁVEL, 46 X 30 X 12 CM - FORNECIMENTO E INSTALAÇÃO. AF_01/2020</t>
  </si>
  <si>
    <t>TORNEIRA CROMADA TUBO MÓVEL, DE MESA, 1/2" OU 3/4", PARA PIA DE COZINHA, PADRÃO ALTO - FORNECIMENTO E INSTALAÇÃO. AF_01/2020</t>
  </si>
  <si>
    <t>TORNEIRAS EXTERNAS</t>
  </si>
  <si>
    <t>TORNEIRA CROMADA TUBO MÓVEL, DE PAREDE, 1/2" OU 3/4", PARA PIA DE COZINHA, PADRÃO MÉDIO - FORNECIMENTO E INSTALAÇÃO. AF_01/2020</t>
  </si>
  <si>
    <t>DISJUNTOR MONOPOLAR TIPO DIN, CORRENTE NOMINAL DE 25A - FORNECIMENTO E INSTALAÇÃO. AF_10/2020</t>
  </si>
  <si>
    <t>ENG. CIVIL - CREA Nº SP64045506</t>
  </si>
  <si>
    <t>FORNECIMENTO E INSTALAÇÃO DE PLACA DE OBRA COM CHAPA GALVANIZADA E ESTRUTURA DE MADEIRA. AF_03/2022_PS</t>
  </si>
  <si>
    <t>PLACA DE OBRA</t>
  </si>
  <si>
    <t>ARMAÇÃO DE PILAR OU VIGA DE ESTRUTURA DE CONCRETO ARMADO EMBUTIDA EM ALVENARIA DE VEDAÇÃO UTILIZANDO AÇO CA-60 DE 5,0 MM - MONTAGEM. AF_06/2022</t>
  </si>
  <si>
    <t>VERGA PRÉ-MOLDADA COM ATÉ 1,5 M DE VÃO, ESPESSURA DE *20* CM. AF_03/2024</t>
  </si>
  <si>
    <t>CONTRAVERGA PRÉ-MOLDADA, ESPESSURA DE *20* CM. AF_03/2024</t>
  </si>
  <si>
    <t>7.2</t>
  </si>
  <si>
    <t>7.3</t>
  </si>
  <si>
    <t>7.4</t>
  </si>
  <si>
    <t>8.1</t>
  </si>
  <si>
    <t>TANQUE DE MÁRMORE SINTÉTICO SUSPENSO, 22L OU EQUIVALENTE - FORNECIMENTO E INSTALAÇÃO. AF_01/2020</t>
  </si>
  <si>
    <t>JOELHO 45 GRAUS, PVC, SERIE NORMAL, ESGOTO PREDIAL, DN 50 MM, JUNTA ELÁSTICA, FORNECIDO E INSTALADO EM RAMAL DE DESCARGA OU RAMAL DE ESGOTO SANITÁRIO. AF_08/2022</t>
  </si>
  <si>
    <t>CABO DE COBRE FLEXÍVEL ISOLADO, 35 MM², ANTI-CHAMA 0,6/1,0 KV, PARA CIRCUITOS TERMINAIS - FORNECIMENTO E INSTALAÇÃO. AF_03/2023</t>
  </si>
  <si>
    <t>3.3</t>
  </si>
  <si>
    <t>3.8</t>
  </si>
  <si>
    <t>3.11</t>
  </si>
  <si>
    <t>3.12</t>
  </si>
  <si>
    <t>3.16</t>
  </si>
  <si>
    <t>5.2</t>
  </si>
  <si>
    <t>9.4</t>
  </si>
  <si>
    <t>9.5</t>
  </si>
  <si>
    <t>9.6</t>
  </si>
  <si>
    <t>9.8</t>
  </si>
  <si>
    <t>9.9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</si>
  <si>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</si>
  <si>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</si>
  <si>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</si>
  <si>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</si>
  <si>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</si>
  <si>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</si>
  <si>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</si>
  <si>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</si>
  <si>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</si>
  <si>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</si>
  <si>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</si>
  <si>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</si>
  <si>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</si>
  <si>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</si>
  <si>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</si>
  <si>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</si>
  <si>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</si>
  <si>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</si>
  <si>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</si>
  <si>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</si>
  <si>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</si>
  <si>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</si>
  <si>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</si>
  <si>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</si>
  <si>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</si>
  <si>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</si>
  <si>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10.1</t>
  </si>
  <si>
    <t>10.4</t>
  </si>
  <si>
    <t>10.7</t>
  </si>
  <si>
    <t>QUADRO DE MEDIÇÃO GERAL DE ENERGIA PARA 1 MEDIDOR DE SOBREPOR - FORNECIMENTO E INSTALAÇÃO. AF_07/2025</t>
  </si>
  <si>
    <t>CAIXA DE PROTEÇÃO PARA MEDIDOR MONOFÁSICO DE EMBUTIR - FORNECIMENTO E INSTALAÇÃO. AF_07/2025</t>
  </si>
  <si>
    <t>ENTRADA DE ENERGIA ELÉTRICA, AÉREA, TRIFÁSICA, COM CAIXA DE EMBUTIR, CABO DE 35 MM2 E DISJUNTOR DIN 50A (NÃO INCLUSO O POSTE DE CONCRETO). AF_07/2020</t>
  </si>
  <si>
    <t>POSTE DE AÇO CÔNICO CONTÍNUO RETO, ENGASTAMENTO SIMPLES COM 1 M DE SOLO, H=7M - FORNECIMENTO E INSTALAÇÃO. AF_04/2025</t>
  </si>
  <si>
    <t>QUADRO DE DISTRIBUIÇÃO DE ENERGIA EM CHAPA DE AÇO GALVANIZADO, DE EMBUTIR, COM BARRAMENTO TRIFÁSICO, PARA 24 DISJUNTORES DIN 100A - FORNECIMENTO E INSTALAÇÃO. AF_07/2025</t>
  </si>
  <si>
    <t>ELETRODUTO FLEXÍVEL CORRUGADO, PVC, DN 32 MM (1"), PARA CIRCUITOS TERMINAIS, INSTALADO EM PAREDE - FORNECIMENTO E INSTALAÇÃO. AF_03/2023</t>
  </si>
  <si>
    <t>ELETRODUTO FLEXÍVEL CORRUGADO, PVC, DN 25 MM (3/4"), PARA CIRCUITOS TERMINAIS, INSTALADO EM PAREDE - FORNECIMENTO E INSTALAÇÃO. AF_03/2023</t>
  </si>
  <si>
    <t>ELETRODUTO RÍGIDO CORRUGADO, PVC, DN 50 MM (2"), PARA CIRCUITOS TERMINAIS, INSTALADO EM PAREDE - FORNECIMENTO E INSTALAÇÃO. AF_03/2023</t>
  </si>
  <si>
    <t>ELETRODUTO RÍGIDO CORRUGADO, PVC, DN 100 MM (4"), PARA CIRCUITOS TERMINAIS, INSTALADO EM PAREDE - FORNECIMENTO E INSTALAÇÃO. AF_03/2023</t>
  </si>
  <si>
    <t>CABO DE COBRE FLEXÍVEL ISOLADO, 6 MM², ANTI-CHAMA 450/750 V, PARA CIRCUITOS TERMINAIS - FORNECIMENTO E INSTALAÇÃO. AF_03/2023</t>
  </si>
  <si>
    <t>CABO DE COBRE FLEXÍVEL ISOLADO, 10 MM², ANTI-CHAMA 450/750 V, PARA CIRCUITOS TERMINAIS - FORNECIMENTO E INSTALAÇÃO. AF_03/2023</t>
  </si>
  <si>
    <t>CABO DE COBRE FLEXÍVEL ISOLADO, 70 MM², 0,6/1,0 KV, PARA REDE AÉREA DE DISTRIBUIÇÃO DE ENERGIA ELÉTRICA DE BAIXA TENSÃO - FORNECIMENTO E INSTALAÇÃO. AF_07/2020</t>
  </si>
  <si>
    <t>DISJUNTOR MONOPOLAR TIPO DIN, CORRENTE NOMINAL DE 10A - FORNECIMENTO E INSTALAÇÃO. AF_07/2025</t>
  </si>
  <si>
    <t>DISJUNTOR MONOPOLAR TIPO DIN, CORRENTE NOMINAL DE 20A - FORNECIMENTO E INSTALAÇÃO. AF_07/2025</t>
  </si>
  <si>
    <t>DISJUNTOR MONOPOLAR TIPO DIN, CORRENTE NOMINAL DE 32A - FORNECIMENTO E INSTALAÇÃO. AF_07/2025</t>
  </si>
  <si>
    <t>DISJUNTOR TRIPOLAR TIPO NEMA, CORRENTE NOMINAL DE 10 ATÉ 50A - FORNECIMENTO E INSTALAÇÃO. AF_07/2025</t>
  </si>
  <si>
    <t>DISJUNTOR TRIPOLAR TIPO NEMA, CORRENTE NOMINAL DE 60 ATÉ 100A - FORNECIMENTO E INSTALAÇÃO. AF_07/2025</t>
  </si>
  <si>
    <t>INTERRUPTOR SIMPLES (2 MÓDULOS), 10A/250V, INCLUINDO SUPORTE E PLACA - FORNECIMENTO E INSTALAÇÃO. AF_03/2023</t>
  </si>
  <si>
    <t>TOMADA BAIXA DE EMBUTIR (2 MÓDULOS), 2P+T 20 A, INCLUINDO SUPORTE E PLACA - FORNECIMENTO E INSTALAÇÃO. AF_03/2023</t>
  </si>
  <si>
    <t>COT</t>
  </si>
  <si>
    <t>COTAÇÃO</t>
  </si>
  <si>
    <t>FURO EM CAIXA D'ÁGUA COM ESPESSURA DE 2 ATÉ 5 MM E DIÂMETRO DE 100 MM. AF_06/2021</t>
  </si>
  <si>
    <t>ADAPTADOR COM FLANGE E ANEL DE VEDAÇÃO, PVC, SOLDÁVEL, DN 25 MM X 3/4", INSTALADO EM RESERVAÇÃO PREDIAL DE ÁGUA - FORNECIMENTO E INSTALAÇÃO. AF_04/2024</t>
  </si>
  <si>
    <t>TORNEIRA DE BOIA PARA CAIXA D'ÁGUA, ROSCÁVEL, 1" - FORNECIMENTO E INSTALAÇÃO. AF_08/2021</t>
  </si>
  <si>
    <t>CURVA 90 GRAUS, PVC, SOLDÁVEL, DN 25MM, INSTALADO EM RAMAL OU SUB-RAMAL DE ÁGUA - FORNECIMENTO E INSTALAÇÃO. AF_06/2022</t>
  </si>
  <si>
    <t>JOELHO 90 GRAUS COM BUCHA DE LATÃO, PVC, SOLDÁVEL, DN 25MM, X 1/2 INSTALADO EM RAMAL OU SUB-RAMAL DE ÁGUA - FORNECIMENTO E INSTALAÇÃO. AF_06/2022</t>
  </si>
  <si>
    <t>APARELHO MISTURADOR DE MESA PARA LAVATÓRIO, PADRÃO MÉDIO - FORNECIMENTO E INSTALAÇÃO. AF_01/2020</t>
  </si>
  <si>
    <t>BANCADA DE GRANITO CINZA POLIDO, DE 0,50 X 0,60 M, PARA LAVATÓRIO - FORNECIMENTO E INSTALAÇÃO. AF_01/2020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</si>
  <si>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</si>
  <si>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CURVA CURTA 90 GRAUS, PVC, SERIE NORMAL, ESGOTO PREDIAL, DN 100 MM, JUNTA SOLDÁVEL, FORNECIDO E INSTALADO EM RAMAL DE DESCARGA OU RAMAL DE ESGOTO SANITÁRIO. AF_12/2014</t>
  </si>
  <si>
    <t>TANQUE SÉPTICO RETANGULAR, EM ALVENARIA COM TIJOLOS CERÂMICOS MACIÇOS, DIMENSÕES INTERNAS: 1,2 X2,4 X H=1,6 M, VOLUME ÚTIL: 3456 L (PARA 13 CONTRIBUINTES). AF_12/2020</t>
  </si>
  <si>
    <t>FILTRO ANAERÓBIO RETANGULAR, EM ALVENARIA COM BLOCOS DE CONCRETO, DIMENSÕES INTERNAS: 1,2 X 1,8 XH=1,67 M, VOLUME ÚTIL: 2592 L (PARA 13 CONTRIBUINTES). AF_12/2020</t>
  </si>
  <si>
    <t>JOELHO 45 GRAUS, PVC, SERIE NORMAL, ESGOTO PREDIAL, DN 100 MM, JUNTA ELÁSTICA, FORNECIDO E INSTALADO EM RAMAL DE DESCARGA OU RAMAL DE ESGOTO SANITÁRIO. AF_08/2022</t>
  </si>
  <si>
    <t>JOELHO 45 GRAUS, PVC, SERIE NORMAL, ESGOTO PREDIAL, DN 40 MM, JUNTA SOLDÁVEL, FORNECIDO E INSTALADO EM RAMAL DE DESCARGA OU RAMAL DE ESGOTO SANITÁRIO. AF_08/2022</t>
  </si>
  <si>
    <t>JUNÇÃO SIMPLES, PVC, SERIE NORMAL, ESGOTO PREDIAL, DN 100 X 100 MM, JUNTA ELÁSTICA, FORNECIDO E INSTALADO EM RAMAL DE DESCARGA OU RAMAL DE ESGOTO SANITÁRIO. AF_08/2022</t>
  </si>
  <si>
    <t>EMBOÇO OU MASSA ÚNICA EM ARGAMASSA TRAÇO 1:2:8, PREPARO MECÂNICA COM BETONEIRA 400 L, APLICADA MANUALMENTE EM PANOS DE FACHADA COM PRESENÇA DE VÃOS, ESPESSURA DE 25 MM, ACESSO POR ANDAIME. AF_08/2022</t>
  </si>
  <si>
    <t>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</si>
  <si>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</si>
  <si>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>PORTA DE ALUMÍNIO DE ABRIR COM LAMBRI, COM GUARNIÇÃO, FIXAÇÃO COM PARAFUSOS - FORNECIMENTO E INSTALAÇÃO. AF_12/2019</t>
  </si>
  <si>
    <t>PORTÕES</t>
  </si>
  <si>
    <t>PORTA DE FERRO, DE ABRIR, TIPO GRADE COM CHAPA, COM GUARNIÇÕES. AF_12/2019</t>
  </si>
  <si>
    <t>CONTRAPISO EM ARGAMASSA TRAÇO 1:4 (CIMENTO E AREIA), PREPARO MECÂNICO COM BETONEIRA 400 L, APLICADO EM ÁREAS MOLHADAS SOBRE IMPERMEABILIZAÇÃO, ACABAMENTO NÃO REFORÇADO, ESPESSURA 4CM. AF_07/2021</t>
  </si>
  <si>
    <t>CALÇADA EXTERNA</t>
  </si>
  <si>
    <t>DRENAGEM</t>
  </si>
  <si>
    <t>RUFO EM CHAPA DE AÇO GALVANIZADO NÚMERO 24, CORTE DE 25 CM, INCLUSO TRANSPORTE VERTICAL. AF_07/2019</t>
  </si>
  <si>
    <t>CHAPIM (RUFO CAPA) EM AÇO GALVANIZADO, CORTE 33. AF_11/2020</t>
  </si>
  <si>
    <t>PREVENÇÃO A INCÊNDIO E PÂNICO</t>
  </si>
  <si>
    <t>EXTINTOR DE INCÊNDIO PORTÁTIL COM CARGA DE ÁGUA PRESSURIZADA DE 10 L,CLASSE A - FORNECIMENTO E INSTALAÇÃO. AF_10/2020_P</t>
  </si>
  <si>
    <t>EXTINTOR DE INCÊNDIO PORTÁTIL COM CARGA DE PQS DE 6 KG, CLASSE BC - FORNECIMENTO E INSTALAÇÃO. AF_10/2020_P</t>
  </si>
  <si>
    <t>LUMINÁRIA DE EMERGÊNCIA, COM 30 LÂMPADAS LED DE 2 W, SEM REATOR - FORNECIMENTO E INSTALAÇÃO. AF_02/2020</t>
  </si>
  <si>
    <t>PLACA DE SINALIZAÇÃO DE EMERGÊNCIA  (SAÍDA DE EMERGÊNCIA)COM CORPO PLÁSTICO E ADESIVO, FOTOLUMINESCENTE MEDINDO 126 MM X 252 MM - FORNECIMENTO E INSTALAÇÃO</t>
  </si>
  <si>
    <t>PLACA DE SINALIZAÇÃO DE EMERGÊNCIA (EXTINTORES DE INCÊNDIO) COM CORPO PLÁSTICO E ADESIVO, FOTOLUMINESCENTE MEDINDO 179 MM X 179 MM - FORNECIMENTO E INSTALAÇÃO</t>
  </si>
  <si>
    <t>DIVSÓRIAS BANHEIRO</t>
  </si>
  <si>
    <t>DIVISORIA SANITÁRIA, TIPO CABINE, EM GRANITO CINZA POLIDO, ESP = 3CM,ASSENTADO COM ARGAMASSA COLANTE AC III-E, EXCLUSIVE FERRAGENS. AF_01/2</t>
  </si>
  <si>
    <t>ACESSIBILIDADE</t>
  </si>
  <si>
    <t>BARRA DE APOIO RETA, EM ALUMINIO, COMPRIMENTO 80 CM, FIXADA NA PAREDE - FORNECIMENTO E INSTALAÇÃO. AF_01/2020</t>
  </si>
  <si>
    <t>PINTURA DE ESQUADRIAS</t>
  </si>
  <si>
    <t>PINTURA VERNIZ (INCOLOR) ALQUÍDICO EM MADEIRA, USO INTERNO E EXTERNO, 2 DEMÃOS. AF_01/2021</t>
  </si>
  <si>
    <t>PAREDES INTERNAS E EXTERNAS E FORRO - PINTURA</t>
  </si>
  <si>
    <t>ALUGUEL DE SANITÁRIO QUÍMICO - FORNECIMENTO E INSTALAÇÃO</t>
  </si>
  <si>
    <t>MOBILIZAÇÃO DE COITAINER</t>
  </si>
  <si>
    <t>ALUGUEL DE CONTAINER - FORNECIMENTO E INSTALAÇÃO 2 UNIDADES</t>
  </si>
  <si>
    <t>FABRICAÇÃO E INSTALAÇÃO DE TESOURA INTEIRA EM AÇO, VÃO DE 12 M, PARA TELHA ONDULADA DE FIBROCIMENTO, METÁLICA, PLÁSTICA OU TERMOACÚSTICA, INCLUSO IÇAMENTO. AF_07/2019</t>
  </si>
  <si>
    <t>SINAPI 07/2025</t>
  </si>
  <si>
    <t>4.2</t>
  </si>
  <si>
    <t>6.4</t>
  </si>
  <si>
    <t>6.5</t>
  </si>
  <si>
    <t>6.6</t>
  </si>
  <si>
    <t>6.7</t>
  </si>
  <si>
    <t>6.10</t>
  </si>
  <si>
    <t>7.8</t>
  </si>
  <si>
    <t>7.11</t>
  </si>
  <si>
    <t>7.12</t>
  </si>
  <si>
    <t>9.7</t>
  </si>
  <si>
    <t>9.10</t>
  </si>
  <si>
    <t>9.37</t>
  </si>
  <si>
    <t>9.38</t>
  </si>
  <si>
    <t>9.39</t>
  </si>
  <si>
    <t>9.40</t>
  </si>
  <si>
    <t>9.41</t>
  </si>
  <si>
    <t>9.42</t>
  </si>
  <si>
    <t>9.43</t>
  </si>
  <si>
    <t>9.44</t>
  </si>
  <si>
    <t>9.45</t>
  </si>
  <si>
    <t>9.46</t>
  </si>
  <si>
    <t>9.47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</si>
  <si>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</si>
  <si>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</si>
  <si>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</si>
  <si>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</si>
  <si>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</si>
  <si>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</si>
  <si>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</si>
  <si>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</si>
  <si>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10.28</t>
  </si>
  <si>
    <t>10.29</t>
  </si>
  <si>
    <t>10.30</t>
  </si>
  <si>
    <t>10.31</t>
  </si>
  <si>
    <t>10.33</t>
  </si>
  <si>
    <t>10.34</t>
  </si>
  <si>
    <t>10.35</t>
  </si>
  <si>
    <t>10.37</t>
  </si>
  <si>
    <t>11.4</t>
  </si>
  <si>
    <t>11.5</t>
  </si>
  <si>
    <t>13.4</t>
  </si>
  <si>
    <t>13.5</t>
  </si>
  <si>
    <t>13.6</t>
  </si>
  <si>
    <t>13.7</t>
  </si>
  <si>
    <t>13.8</t>
  </si>
  <si>
    <t>13.9</t>
  </si>
  <si>
    <t>13.10</t>
  </si>
  <si>
    <t>180 DIAS</t>
  </si>
  <si>
    <t xml:space="preserve">ISS MUNICIPAL: 5% SOBRE 100% DA NOTA FISCAL EMITIDA. </t>
  </si>
  <si>
    <t>ENG. CIVIL - CREA Nº 64045506/SP</t>
  </si>
  <si>
    <t>TELHAMENTO COM TELHA DE AÇO/ALUMÍNIO E = 0,5 MM, COM ATÉ 2 ÁGUAS, INCLUSO IÇAMENTO. AF_07/2019</t>
  </si>
  <si>
    <t>TRAMA DE AÇO COMPOSTA POR TERÇAS PARA TELHADOS DE ATÉ 2 ÁGUAS PARA TELHA ONDULADA DE FIBROCIMENTO, METÁLICA, PLÁSTICA OU TERMOACÚSTICA, INCLUSO TRANSPORTE VERTICAL. AF_07/2019</t>
  </si>
  <si>
    <t>EXECUÇÃO DE PASSEIO (CALÇADA) OU PISO DE CONCRETO COM CONCRETO MOLDADO IN LOCO, USINADO, ACABAMENTO CONVENCIONAL, ESPESSURA 8 CM, ARMADO. AF_08/2022</t>
  </si>
  <si>
    <t>ARMAÇÃO DE PILAR OU VIGA DE ESTRUTURA CONVENCIONAL DE CONCRETO ARMADO UTILIZANDO AÇO CA-50 DE 12,5 MM -MONTAGEM. AF_06/2022</t>
  </si>
  <si>
    <t>ARMAÇÃO DE PILAR OU VIGA DE ESTRUTURA CONVENCIONAL DE CONCRETO ARMADO UTILIZANDO AÇO CA-50 DE 16,0 MM -MONTAGEM. AF_06/2022</t>
  </si>
  <si>
    <t>ARMAÇÃO DE PILAR OU VIGA DE ESTRUTURA CONVENCIONAL DE CONCRETO ARMADO UTILIZANDO AÇO CA-50 DE 20,0 MM -MONTAGEM. AF_06/2022</t>
  </si>
  <si>
    <t>ARMAÇÃO DE PILAR OU VIGA DE ESTRUTURA CONVENCIONAL DE CONCRETO ARMADO UTILIZANDO AÇO CA-50 DE 6,3 MM -MONTAGEM. AF_06/2022</t>
  </si>
  <si>
    <t>FUNDAÇÕES DE COLUNAS METÁLICAS</t>
  </si>
  <si>
    <t>ESTRUTURA DE CONCRETO ARMADO</t>
  </si>
  <si>
    <t xml:space="preserve">ESCADA </t>
  </si>
  <si>
    <t>ESCADA EM CONCRETO ARMADO MOLDADO IN LOCO, FCK 25 MPA, COM 1 LANCE E LAJE PLANA, FÔRMA EM CHAPA DE MADEIRA COMPENSADA RESINADA. AF_11/2020</t>
  </si>
  <si>
    <t>COBERTURA E ESTRUTURA METÁLICA</t>
  </si>
  <si>
    <t>FABRICAÇÃO E INSTALAÇÃO DE TESOURA INTEIRA EM AÇO, VÃO DE 6 M, PARA TELHA ONDULADA DE FIBROCIMENTO, METÁLICA, PLÁSTICA OU TERMOACÚSTICA, INCLUSO IÇAMENTO. AF_07/2019</t>
  </si>
  <si>
    <t>FABRICAÇÃO E INSTALAÇÃO DE TESOURA INTEIRA EM AÇO, VÃO DE 16 M, PARA TELHA ONDULADA DE FIBROCIMENTO, METÁLICA, PLÁSTICA OU TERMOACÚSTICA, INCLUSO IÇAMENTO. AF_07/2019</t>
  </si>
  <si>
    <t>FORRO EM RÉGUAS DE PVC, LISO, PARA AMBIENTES COMERCIAIS, INCLUSIVE ESTRUTURA BIDIRECIONAL DE FIXAÇÃO. AF_08/2023_PS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</si>
  <si>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</si>
  <si>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RODAPÉ EM MARMORITE, ALTURA 10CM. AF_09/2020</t>
  </si>
  <si>
    <t>PISO INTERNO ESCRITÓRIOS E REFEITÓRIO</t>
  </si>
  <si>
    <t>PISOS BARRACÃO, DEPÓSITO DE MADEIRA E BAIAS</t>
  </si>
  <si>
    <t>REVESTIMENTO CERÂMICO PARA PAREDES INTERNAS COM PLACAS TIPO ESMALTADA DE DIMENSÕES 60X60 CM APLICADAS NA ALTURA INTEIRA DAS PAREDES. AF_02/2023_PE</t>
  </si>
  <si>
    <t>Engenheiro: 1 horas x 2 Dias x 4 Semanas x 6 Meses = 48h</t>
  </si>
  <si>
    <t>Mestre de Obras: 2 horas x 5 Dias x 4 Semanas x 6 Meses = 144h</t>
  </si>
  <si>
    <t>QUADRO DE MEDIÇÃO - ENTRADA DE ENERGIA</t>
  </si>
  <si>
    <t>QUADROS DE DISTRIBUIÇÃO</t>
  </si>
  <si>
    <t>QUADRO DE DISTRIBUIÇÃO DE ENERGIA EM CHAPA DE AÇO GALVANIZADO, DE EMBUTIR, COM BARRAMENTO RIFÁSICO, PARA 18 DISJUNTORES DIN 100A - FORNECIMENTO E INSTALAÇÃO. AF_07/2025</t>
  </si>
  <si>
    <t>CABO DE COBRE FLEXÍVEL ISOLADO, 25 MM², 0,6/1,0 KV, PARA REDE AÉREA DE DISTRIBUIÇÃO DE ENERGIA ELÉTRICA DE BAIXA TENSÃO - FORNECIMENTO E INSTALAÇÃO. AF_07/2020</t>
  </si>
  <si>
    <t>LUMINÁRIA LED 32W - 40W</t>
  </si>
  <si>
    <t>LUMINÁRIA LED 15 W</t>
  </si>
  <si>
    <t>CAIXA D´ÁGUA EM POLIETILENO, 1000 LITROS - FORNECIMENTO E INSTALAÇÃO. AF_06/2021</t>
  </si>
  <si>
    <t>MICTÓRIO SIFONADO LOUÇA BRANCA - PADRÃO MÉDIO - FORNECIMENTO E INSTALAÇÃO. AF_01/2020</t>
  </si>
  <si>
    <t>TUBO PVC, SERIE NORMAL, ESGOTO PREDIAL, DN 75 MM, FORNECIDO E INSTALADO EM RAMAL DE DESCARGA OU RAMAL DE ESGOTO SANITÁRIO. AF_08/2022</t>
  </si>
  <si>
    <t>JUNÇÃO SIMPLES, PVC, SERIE NORMAL, ESGOTO PREDIAL, DN 40 X 40 MM, JUNTA ELÁSTICA, FORNECIDO E JUNÇÃO SIMPLES, PVC, SERIE NORMAL, ESGOTO PREDIAL, DN 50 X 50 MM, JUNTA ELÁSTICA, FORNECIDO E INSTALADO EM RAMAL DE DESCARGA OU RAMAL DE ESGOTO SANITÁRIO. AF_08/2022</t>
  </si>
  <si>
    <t>JUNÇÃO DE REDUCAO INVERTIDA, PVC, SÉRIE NORMAL, ESGOTO PREDIAL, DN 100 X 50 MM, JUNTA ELÁSTICA, FORNECIDO E INSTALADO EM RAMAL DE DESCARGA OU RAMAL DE ESGOTO SANITÁRIO. AF_08/2022</t>
  </si>
  <si>
    <t>JOELHO 45 GRAUS, PVC, SERIE NORMAL, ESGOTO PREDIAL, DN 75 MM, JUNTA ELÁSTICA, FORNECIDO E INSTALADO EM RAMAL DE DESCARGA OU RAMAL DE ESGOTO SANITÁRIO. AF_08/2022</t>
  </si>
  <si>
    <t>COLUNAS METÁLICAS</t>
  </si>
  <si>
    <t>PILAR METÁLICO PERFIL LAMINADO OU SOLDADO EM AÇO ESTRUTURAL, COM CONEXÕES SOLDADAS, INCLUSOS MÃO DE OBRA, TRANSPORTE E IÇAMENTO UTILIZANDO GUINDASTE - FORNECIMENTO E INSTALAÇÃO. AF_01/2020_PA</t>
  </si>
  <si>
    <t>CONSTRUÇÃO DE PÁTIO DA SECRETARIA DE OBRAS MUNICIPAL</t>
  </si>
  <si>
    <t>PREFEITURA MUNICIPAL DE ARAPUTANGA</t>
  </si>
  <si>
    <t>AVENIDA PROJETADA, DISTRITO INDUSTRIAL</t>
  </si>
  <si>
    <t xml:space="preserve">ITENS DE MAIOR RELEVÂNCIA </t>
  </si>
  <si>
    <t>Quant. Mín - 50%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</si>
</sst>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R$&quot;\ #,##0.00"/>
    <numFmt numFmtId="165" formatCode="#,##0.000000"/>
    <numFmt numFmtId="166" formatCode="#,##0.0000"/>
    <numFmt numFmtId="167" formatCode="#,##0.000"/>
    <numFmt numFmtId="168" formatCode="0.0000000000%"/>
  </numFmts>
  <fonts count="2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11"/>
      <name val="Arial"/>
      <family val="1"/>
    </font>
    <font>
      <sz val="11"/>
      <color theme="1"/>
      <name val="Arial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4DA56"/>
        <bgColor rgb="FFE4DA56"/>
      </patternFill>
    </fill>
    <fill>
      <patternFill patternType="solid">
        <fgColor rgb="FFC4BD97"/>
        <bgColor rgb="FFC4BD97"/>
      </patternFill>
    </fill>
    <fill>
      <patternFill patternType="solid">
        <fgColor rgb="FFF1F197"/>
        <bgColor rgb="FFF1F197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C4BD97"/>
      </patternFill>
    </fill>
    <fill>
      <patternFill patternType="solid">
        <fgColor theme="0"/>
        <bgColor rgb="FFE4DA56"/>
      </patternFill>
    </fill>
    <fill>
      <patternFill patternType="solid">
        <fgColor rgb="FFE4DA56"/>
        <bgColor rgb="FFC4BD97"/>
      </patternFill>
    </fill>
    <fill>
      <patternFill patternType="solid">
        <fgColor rgb="FFE4DA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1F197"/>
      </patternFill>
    </fill>
    <fill>
      <patternFill patternType="solid">
        <fgColor theme="2" tint="-4.9989318521683403E-2"/>
        <bgColor rgb="FFF1F197"/>
      </patternFill>
    </fill>
    <fill>
      <patternFill patternType="solid">
        <fgColor theme="0" tint="-4.9989318521683403E-2"/>
        <bgColor rgb="FFC4BD9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DA56"/>
        <bgColor theme="0"/>
      </patternFill>
    </fill>
  </fills>
  <borders count="17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2" fillId="0" borderId="18"/>
    <xf numFmtId="0" fontId="18" fillId="0" borderId="18"/>
    <xf numFmtId="0" fontId="11" fillId="0" borderId="18"/>
    <xf numFmtId="0" fontId="12" fillId="0" borderId="18"/>
    <xf numFmtId="0" fontId="12" fillId="0" borderId="18"/>
    <xf numFmtId="0" fontId="1" fillId="0" borderId="18"/>
    <xf numFmtId="0" fontId="21" fillId="0" borderId="18"/>
    <xf numFmtId="9" fontId="1" fillId="0" borderId="18" applyFont="0" applyFill="0" applyBorder="0" applyAlignment="0" applyProtection="0"/>
    <xf numFmtId="9" fontId="22" fillId="0" borderId="0" applyFont="0" applyFill="0" applyBorder="0" applyAlignment="0" applyProtection="0"/>
    <xf numFmtId="0" fontId="11" fillId="0" borderId="18"/>
  </cellStyleXfs>
  <cellXfs count="736">
    <xf numFmtId="0" fontId="0" fillId="0" borderId="0" xfId="0"/>
    <xf numFmtId="0" fontId="0" fillId="0" borderId="1" xfId="0" applyBorder="1"/>
    <xf numFmtId="0" fontId="0" fillId="0" borderId="5" xfId="0" applyBorder="1"/>
    <xf numFmtId="0" fontId="0" fillId="2" borderId="9" xfId="0" applyFill="1" applyBorder="1"/>
    <xf numFmtId="14" fontId="3" fillId="2" borderId="13" xfId="0" applyNumberFormat="1" applyFont="1" applyFill="1" applyBorder="1"/>
    <xf numFmtId="0" fontId="4" fillId="4" borderId="20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31" xfId="0" applyFont="1" applyBorder="1"/>
    <xf numFmtId="0" fontId="4" fillId="2" borderId="32" xfId="0" applyFont="1" applyFill="1" applyBorder="1"/>
    <xf numFmtId="0" fontId="4" fillId="4" borderId="3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3" borderId="38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left" vertical="center"/>
    </xf>
    <xf numFmtId="4" fontId="4" fillId="3" borderId="38" xfId="0" applyNumberFormat="1" applyFont="1" applyFill="1" applyBorder="1" applyAlignment="1">
      <alignment horizontal="center" vertical="center"/>
    </xf>
    <xf numFmtId="4" fontId="4" fillId="3" borderId="39" xfId="0" applyNumberFormat="1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4" fontId="0" fillId="0" borderId="31" xfId="0" applyNumberForma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left" vertical="center" wrapText="1"/>
    </xf>
    <xf numFmtId="4" fontId="4" fillId="3" borderId="31" xfId="0" applyNumberFormat="1" applyFont="1" applyFill="1" applyBorder="1" applyAlignment="1">
      <alignment horizontal="center" vertical="center" wrapText="1"/>
    </xf>
    <xf numFmtId="4" fontId="4" fillId="3" borderId="40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5" borderId="31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left" vertical="center" wrapText="1"/>
    </xf>
    <xf numFmtId="4" fontId="4" fillId="5" borderId="31" xfId="0" applyNumberFormat="1" applyFont="1" applyFill="1" applyBorder="1" applyAlignment="1">
      <alignment horizontal="center" vertical="center" wrapText="1"/>
    </xf>
    <xf numFmtId="4" fontId="4" fillId="5" borderId="40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2" borderId="13" xfId="0" applyFont="1" applyFill="1" applyBorder="1"/>
    <xf numFmtId="0" fontId="6" fillId="0" borderId="0" xfId="0" applyFont="1"/>
    <xf numFmtId="0" fontId="7" fillId="0" borderId="0" xfId="0" applyFont="1"/>
    <xf numFmtId="0" fontId="0" fillId="2" borderId="31" xfId="0" applyFill="1" applyBorder="1"/>
    <xf numFmtId="0" fontId="0" fillId="2" borderId="13" xfId="0" applyFill="1" applyBorder="1"/>
    <xf numFmtId="14" fontId="0" fillId="2" borderId="13" xfId="0" applyNumberForma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4" fontId="8" fillId="2" borderId="44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4" fontId="9" fillId="2" borderId="31" xfId="0" applyNumberFormat="1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left" vertical="center" wrapText="1"/>
    </xf>
    <xf numFmtId="4" fontId="9" fillId="2" borderId="36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0" fillId="2" borderId="13" xfId="0" applyFill="1" applyBorder="1" applyAlignment="1">
      <alignment horizontal="center"/>
    </xf>
    <xf numFmtId="0" fontId="0" fillId="0" borderId="31" xfId="0" applyBorder="1"/>
    <xf numFmtId="0" fontId="0" fillId="2" borderId="32" xfId="0" applyFill="1" applyBorder="1"/>
    <xf numFmtId="0" fontId="4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4" fontId="4" fillId="0" borderId="31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4" fontId="4" fillId="0" borderId="52" xfId="0" applyNumberFormat="1" applyFont="1" applyBorder="1" applyAlignment="1">
      <alignment horizontal="center" vertical="center"/>
    </xf>
    <xf numFmtId="2" fontId="0" fillId="0" borderId="52" xfId="0" applyNumberFormat="1" applyBorder="1" applyAlignment="1">
      <alignment horizontal="center" vertical="center"/>
    </xf>
    <xf numFmtId="4" fontId="0" fillId="0" borderId="52" xfId="0" applyNumberFormat="1" applyBorder="1"/>
    <xf numFmtId="4" fontId="0" fillId="0" borderId="52" xfId="0" applyNumberFormat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4" fontId="4" fillId="3" borderId="52" xfId="0" applyNumberFormat="1" applyFont="1" applyFill="1" applyBorder="1" applyAlignment="1">
      <alignment horizontal="center" vertical="center"/>
    </xf>
    <xf numFmtId="2" fontId="4" fillId="3" borderId="52" xfId="0" applyNumberFormat="1" applyFont="1" applyFill="1" applyBorder="1" applyAlignment="1">
      <alignment horizontal="center" vertical="center"/>
    </xf>
    <xf numFmtId="4" fontId="4" fillId="3" borderId="52" xfId="0" applyNumberFormat="1" applyFont="1" applyFill="1" applyBorder="1"/>
    <xf numFmtId="4" fontId="4" fillId="3" borderId="53" xfId="0" applyNumberFormat="1" applyFont="1" applyFill="1" applyBorder="1" applyAlignment="1">
      <alignment horizontal="center" vertical="center"/>
    </xf>
    <xf numFmtId="4" fontId="4" fillId="3" borderId="52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 wrapText="1"/>
    </xf>
    <xf numFmtId="165" fontId="9" fillId="2" borderId="31" xfId="0" applyNumberFormat="1" applyFont="1" applyFill="1" applyBorder="1" applyAlignment="1">
      <alignment horizontal="center" vertical="center" wrapText="1"/>
    </xf>
    <xf numFmtId="165" fontId="9" fillId="2" borderId="36" xfId="0" applyNumberFormat="1" applyFont="1" applyFill="1" applyBorder="1" applyAlignment="1">
      <alignment horizontal="center" vertical="center" wrapText="1"/>
    </xf>
    <xf numFmtId="0" fontId="4" fillId="3" borderId="33" xfId="0" applyFont="1" applyFill="1" applyBorder="1"/>
    <xf numFmtId="4" fontId="4" fillId="3" borderId="32" xfId="0" applyNumberFormat="1" applyFont="1" applyFill="1" applyBorder="1" applyAlignment="1">
      <alignment horizontal="center"/>
    </xf>
    <xf numFmtId="0" fontId="4" fillId="0" borderId="82" xfId="0" applyFont="1" applyBorder="1" applyAlignment="1">
      <alignment horizontal="center"/>
    </xf>
    <xf numFmtId="10" fontId="4" fillId="2" borderId="83" xfId="0" applyNumberFormat="1" applyFont="1" applyFill="1" applyBorder="1" applyAlignment="1">
      <alignment horizontal="center"/>
    </xf>
    <xf numFmtId="0" fontId="0" fillId="0" borderId="18" xfId="0" applyBorder="1"/>
    <xf numFmtId="0" fontId="11" fillId="0" borderId="18" xfId="0" applyFont="1" applyBorder="1" applyAlignment="1">
      <alignment horizontal="center" vertical="center"/>
    </xf>
    <xf numFmtId="0" fontId="0" fillId="0" borderId="99" xfId="0" applyBorder="1" applyAlignment="1">
      <alignment horizontal="center"/>
    </xf>
    <xf numFmtId="0" fontId="11" fillId="0" borderId="100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0" fillId="0" borderId="99" xfId="0" applyBorder="1"/>
    <xf numFmtId="0" fontId="4" fillId="0" borderId="69" xfId="0" applyFont="1" applyBorder="1" applyAlignment="1">
      <alignment horizontal="center" vertical="center"/>
    </xf>
    <xf numFmtId="0" fontId="4" fillId="0" borderId="67" xfId="0" applyFont="1" applyBorder="1" applyAlignment="1">
      <alignment vertical="center"/>
    </xf>
    <xf numFmtId="0" fontId="0" fillId="3" borderId="74" xfId="0" applyFill="1" applyBorder="1"/>
    <xf numFmtId="0" fontId="13" fillId="0" borderId="65" xfId="0" applyFont="1" applyBorder="1" applyAlignment="1">
      <alignment horizontal="center"/>
    </xf>
    <xf numFmtId="164" fontId="4" fillId="3" borderId="110" xfId="0" applyNumberFormat="1" applyFont="1" applyFill="1" applyBorder="1" applyAlignment="1">
      <alignment horizontal="center"/>
    </xf>
    <xf numFmtId="0" fontId="13" fillId="0" borderId="68" xfId="0" applyFont="1" applyBorder="1" applyAlignment="1">
      <alignment horizontal="center" vertical="center"/>
    </xf>
    <xf numFmtId="4" fontId="4" fillId="3" borderId="111" xfId="0" applyNumberFormat="1" applyFont="1" applyFill="1" applyBorder="1" applyAlignment="1">
      <alignment horizontal="center"/>
    </xf>
    <xf numFmtId="0" fontId="11" fillId="0" borderId="18" xfId="0" applyFont="1" applyBorder="1"/>
    <xf numFmtId="0" fontId="11" fillId="0" borderId="51" xfId="0" applyFont="1" applyBorder="1" applyAlignment="1">
      <alignment horizontal="center" vertical="center"/>
    </xf>
    <xf numFmtId="4" fontId="11" fillId="0" borderId="51" xfId="0" applyNumberFormat="1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0" fontId="11" fillId="0" borderId="119" xfId="0" applyFont="1" applyBorder="1" applyAlignment="1">
      <alignment horizontal="center" vertical="center"/>
    </xf>
    <xf numFmtId="4" fontId="11" fillId="0" borderId="120" xfId="0" applyNumberFormat="1" applyFont="1" applyBorder="1" applyAlignment="1">
      <alignment horizontal="center" vertical="center"/>
    </xf>
    <xf numFmtId="4" fontId="4" fillId="3" borderId="122" xfId="0" applyNumberFormat="1" applyFont="1" applyFill="1" applyBorder="1" applyAlignment="1">
      <alignment horizontal="center"/>
    </xf>
    <xf numFmtId="4" fontId="4" fillId="6" borderId="51" xfId="0" applyNumberFormat="1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4" fillId="7" borderId="18" xfId="0" applyFont="1" applyFill="1" applyBorder="1" applyAlignment="1">
      <alignment vertical="center"/>
    </xf>
    <xf numFmtId="4" fontId="11" fillId="0" borderId="65" xfId="0" applyNumberFormat="1" applyFont="1" applyBorder="1" applyAlignment="1">
      <alignment horizontal="center" vertical="center"/>
    </xf>
    <xf numFmtId="4" fontId="11" fillId="0" borderId="66" xfId="0" applyNumberFormat="1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4" fontId="11" fillId="0" borderId="68" xfId="0" applyNumberFormat="1" applyFont="1" applyBorder="1" applyAlignment="1">
      <alignment horizontal="center" vertical="center"/>
    </xf>
    <xf numFmtId="4" fontId="11" fillId="0" borderId="69" xfId="0" applyNumberFormat="1" applyFont="1" applyBorder="1" applyAlignment="1">
      <alignment horizontal="center" vertical="center"/>
    </xf>
    <xf numFmtId="4" fontId="11" fillId="0" borderId="67" xfId="0" applyNumberFormat="1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0" fillId="0" borderId="127" xfId="0" applyBorder="1"/>
    <xf numFmtId="0" fontId="0" fillId="0" borderId="131" xfId="0" applyBorder="1"/>
    <xf numFmtId="0" fontId="0" fillId="2" borderId="133" xfId="0" applyFill="1" applyBorder="1"/>
    <xf numFmtId="0" fontId="4" fillId="0" borderId="137" xfId="0" applyFont="1" applyBorder="1" applyAlignment="1">
      <alignment horizontal="center" vertical="center"/>
    </xf>
    <xf numFmtId="0" fontId="0" fillId="0" borderId="137" xfId="0" applyBorder="1" applyAlignment="1">
      <alignment horizontal="center" vertical="center"/>
    </xf>
    <xf numFmtId="0" fontId="4" fillId="0" borderId="131" xfId="0" applyFont="1" applyBorder="1" applyAlignment="1">
      <alignment horizontal="center" vertical="center"/>
    </xf>
    <xf numFmtId="0" fontId="0" fillId="0" borderId="138" xfId="0" applyBorder="1"/>
    <xf numFmtId="4" fontId="0" fillId="0" borderId="53" xfId="0" applyNumberFormat="1" applyBorder="1" applyAlignment="1">
      <alignment horizontal="center" vertical="center"/>
    </xf>
    <xf numFmtId="4" fontId="0" fillId="0" borderId="139" xfId="0" applyNumberFormat="1" applyBorder="1" applyAlignment="1">
      <alignment horizontal="center" vertical="center"/>
    </xf>
    <xf numFmtId="0" fontId="4" fillId="3" borderId="138" xfId="0" applyFont="1" applyFill="1" applyBorder="1"/>
    <xf numFmtId="0" fontId="4" fillId="3" borderId="139" xfId="0" applyFont="1" applyFill="1" applyBorder="1"/>
    <xf numFmtId="0" fontId="0" fillId="0" borderId="77" xfId="0" applyBorder="1"/>
    <xf numFmtId="0" fontId="0" fillId="0" borderId="73" xfId="0" applyBorder="1"/>
    <xf numFmtId="0" fontId="0" fillId="2" borderId="18" xfId="0" applyFill="1" applyBorder="1"/>
    <xf numFmtId="4" fontId="4" fillId="2" borderId="18" xfId="0" applyNumberFormat="1" applyFont="1" applyFill="1" applyBorder="1" applyAlignment="1">
      <alignment horizontal="center" vertical="center"/>
    </xf>
    <xf numFmtId="4" fontId="4" fillId="2" borderId="78" xfId="0" applyNumberFormat="1" applyFont="1" applyFill="1" applyBorder="1" applyAlignment="1">
      <alignment horizontal="center" vertical="center"/>
    </xf>
    <xf numFmtId="164" fontId="4" fillId="2" borderId="142" xfId="0" applyNumberFormat="1" applyFont="1" applyFill="1" applyBorder="1" applyAlignment="1">
      <alignment horizontal="center" vertical="center"/>
    </xf>
    <xf numFmtId="0" fontId="8" fillId="2" borderId="148" xfId="0" applyFont="1" applyFill="1" applyBorder="1" applyAlignment="1">
      <alignment horizontal="center" vertical="center" wrapText="1"/>
    </xf>
    <xf numFmtId="0" fontId="4" fillId="2" borderId="149" xfId="0" applyFont="1" applyFill="1" applyBorder="1" applyAlignment="1">
      <alignment horizontal="center" vertical="center" wrapText="1"/>
    </xf>
    <xf numFmtId="0" fontId="9" fillId="2" borderId="119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left" vertical="center" wrapText="1"/>
    </xf>
    <xf numFmtId="4" fontId="9" fillId="2" borderId="51" xfId="0" applyNumberFormat="1" applyFont="1" applyFill="1" applyBorder="1" applyAlignment="1">
      <alignment horizontal="center" vertical="center" wrapText="1"/>
    </xf>
    <xf numFmtId="4" fontId="9" fillId="2" borderId="120" xfId="0" applyNumberFormat="1" applyFont="1" applyFill="1" applyBorder="1" applyAlignment="1">
      <alignment horizontal="center" vertical="center" wrapText="1"/>
    </xf>
    <xf numFmtId="0" fontId="9" fillId="2" borderId="131" xfId="0" applyFont="1" applyFill="1" applyBorder="1" applyAlignment="1">
      <alignment horizontal="center" vertical="center" wrapText="1"/>
    </xf>
    <xf numFmtId="4" fontId="9" fillId="2" borderId="137" xfId="0" applyNumberFormat="1" applyFont="1" applyFill="1" applyBorder="1" applyAlignment="1">
      <alignment horizontal="center" vertical="center" wrapText="1"/>
    </xf>
    <xf numFmtId="0" fontId="9" fillId="2" borderId="150" xfId="0" applyFont="1" applyFill="1" applyBorder="1" applyAlignment="1">
      <alignment horizontal="center" vertical="center" wrapText="1"/>
    </xf>
    <xf numFmtId="0" fontId="9" fillId="2" borderId="151" xfId="0" applyFont="1" applyFill="1" applyBorder="1" applyAlignment="1">
      <alignment horizontal="center" vertical="center" wrapText="1"/>
    </xf>
    <xf numFmtId="0" fontId="9" fillId="2" borderId="151" xfId="0" applyFont="1" applyFill="1" applyBorder="1" applyAlignment="1">
      <alignment horizontal="left" vertical="center" wrapText="1"/>
    </xf>
    <xf numFmtId="4" fontId="9" fillId="2" borderId="151" xfId="0" applyNumberFormat="1" applyFont="1" applyFill="1" applyBorder="1" applyAlignment="1">
      <alignment horizontal="center" vertical="center" wrapText="1"/>
    </xf>
    <xf numFmtId="4" fontId="9" fillId="2" borderId="152" xfId="0" applyNumberFormat="1" applyFont="1" applyFill="1" applyBorder="1" applyAlignment="1">
      <alignment horizontal="center" vertical="center" wrapText="1"/>
    </xf>
    <xf numFmtId="0" fontId="9" fillId="2" borderId="153" xfId="0" applyFont="1" applyFill="1" applyBorder="1" applyAlignment="1">
      <alignment horizontal="center" vertical="center" wrapText="1"/>
    </xf>
    <xf numFmtId="4" fontId="9" fillId="2" borderId="149" xfId="0" applyNumberFormat="1" applyFont="1" applyFill="1" applyBorder="1" applyAlignment="1">
      <alignment horizontal="center" vertical="center" wrapText="1"/>
    </xf>
    <xf numFmtId="165" fontId="9" fillId="2" borderId="151" xfId="0" applyNumberFormat="1" applyFont="1" applyFill="1" applyBorder="1" applyAlignment="1">
      <alignment horizontal="center" vertical="center" wrapText="1"/>
    </xf>
    <xf numFmtId="4" fontId="4" fillId="2" borderId="142" xfId="0" applyNumberFormat="1" applyFont="1" applyFill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4" fontId="0" fillId="0" borderId="0" xfId="0" applyNumberFormat="1"/>
    <xf numFmtId="0" fontId="11" fillId="0" borderId="77" xfId="0" applyFont="1" applyBorder="1" applyAlignment="1">
      <alignment horizontal="center" vertical="center"/>
    </xf>
    <xf numFmtId="166" fontId="11" fillId="0" borderId="51" xfId="0" applyNumberFormat="1" applyFont="1" applyBorder="1" applyAlignment="1">
      <alignment horizontal="center" vertical="center"/>
    </xf>
    <xf numFmtId="167" fontId="11" fillId="0" borderId="51" xfId="0" applyNumberFormat="1" applyFont="1" applyBorder="1" applyAlignment="1">
      <alignment horizontal="center" vertical="center"/>
    </xf>
    <xf numFmtId="166" fontId="11" fillId="0" borderId="120" xfId="0" applyNumberFormat="1" applyFont="1" applyBorder="1" applyAlignment="1">
      <alignment horizontal="center" vertical="center"/>
    </xf>
    <xf numFmtId="167" fontId="11" fillId="0" borderId="65" xfId="0" applyNumberFormat="1" applyFont="1" applyBorder="1" applyAlignment="1">
      <alignment horizontal="center" vertical="center"/>
    </xf>
    <xf numFmtId="4" fontId="11" fillId="0" borderId="65" xfId="0" applyNumberFormat="1" applyFont="1" applyBorder="1" applyAlignment="1">
      <alignment horizontal="center" vertical="center" wrapText="1"/>
    </xf>
    <xf numFmtId="0" fontId="11" fillId="0" borderId="113" xfId="0" applyFont="1" applyBorder="1" applyAlignment="1">
      <alignment horizontal="center" vertical="center"/>
    </xf>
    <xf numFmtId="4" fontId="11" fillId="0" borderId="114" xfId="0" applyNumberFormat="1" applyFont="1" applyBorder="1" applyAlignment="1">
      <alignment horizontal="center" vertical="center"/>
    </xf>
    <xf numFmtId="166" fontId="11" fillId="0" borderId="114" xfId="0" applyNumberFormat="1" applyFont="1" applyBorder="1" applyAlignment="1">
      <alignment horizontal="center" vertical="center"/>
    </xf>
    <xf numFmtId="167" fontId="11" fillId="0" borderId="114" xfId="0" applyNumberFormat="1" applyFont="1" applyBorder="1" applyAlignment="1">
      <alignment horizontal="center" vertical="center"/>
    </xf>
    <xf numFmtId="4" fontId="11" fillId="0" borderId="126" xfId="0" applyNumberFormat="1" applyFont="1" applyBorder="1" applyAlignment="1">
      <alignment horizontal="center" vertical="center"/>
    </xf>
    <xf numFmtId="166" fontId="11" fillId="0" borderId="126" xfId="0" applyNumberFormat="1" applyFont="1" applyBorder="1" applyAlignment="1">
      <alignment horizontal="center" vertical="center"/>
    </xf>
    <xf numFmtId="4" fontId="11" fillId="0" borderId="154" xfId="0" applyNumberFormat="1" applyFont="1" applyBorder="1" applyAlignment="1">
      <alignment horizontal="center" vertical="center" wrapText="1"/>
    </xf>
    <xf numFmtId="4" fontId="11" fillId="0" borderId="154" xfId="0" applyNumberFormat="1" applyFont="1" applyBorder="1" applyAlignment="1">
      <alignment horizontal="center" vertical="center"/>
    </xf>
    <xf numFmtId="4" fontId="11" fillId="0" borderId="73" xfId="0" applyNumberFormat="1" applyFont="1" applyBorder="1" applyAlignment="1">
      <alignment horizontal="center" vertical="center"/>
    </xf>
    <xf numFmtId="0" fontId="0" fillId="0" borderId="65" xfId="0" applyBorder="1"/>
    <xf numFmtId="0" fontId="0" fillId="2" borderId="65" xfId="0" applyFill="1" applyBorder="1"/>
    <xf numFmtId="0" fontId="4" fillId="0" borderId="65" xfId="0" applyFont="1" applyBorder="1"/>
    <xf numFmtId="0" fontId="0" fillId="2" borderId="154" xfId="0" applyFill="1" applyBorder="1"/>
    <xf numFmtId="4" fontId="0" fillId="0" borderId="40" xfId="0" applyNumberFormat="1" applyBorder="1" applyAlignment="1">
      <alignment horizontal="center" vertical="center"/>
    </xf>
    <xf numFmtId="0" fontId="3" fillId="2" borderId="18" xfId="0" applyFont="1" applyFill="1" applyBorder="1"/>
    <xf numFmtId="0" fontId="0" fillId="2" borderId="31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left" vertical="center" wrapText="1"/>
    </xf>
    <xf numFmtId="0" fontId="0" fillId="0" borderId="155" xfId="0" applyBorder="1"/>
    <xf numFmtId="0" fontId="0" fillId="0" borderId="156" xfId="0" applyBorder="1"/>
    <xf numFmtId="0" fontId="0" fillId="2" borderId="157" xfId="0" applyFill="1" applyBorder="1"/>
    <xf numFmtId="164" fontId="4" fillId="3" borderId="160" xfId="0" applyNumberFormat="1" applyFont="1" applyFill="1" applyBorder="1" applyAlignment="1">
      <alignment horizontal="center"/>
    </xf>
    <xf numFmtId="10" fontId="4" fillId="3" borderId="161" xfId="0" applyNumberFormat="1" applyFont="1" applyFill="1" applyBorder="1" applyAlignment="1">
      <alignment horizontal="center"/>
    </xf>
    <xf numFmtId="0" fontId="4" fillId="4" borderId="138" xfId="0" applyFont="1" applyFill="1" applyBorder="1" applyAlignment="1">
      <alignment horizontal="center" vertical="center"/>
    </xf>
    <xf numFmtId="0" fontId="4" fillId="4" borderId="139" xfId="0" applyFont="1" applyFill="1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10" fontId="0" fillId="0" borderId="120" xfId="0" applyNumberFormat="1" applyBorder="1" applyAlignment="1">
      <alignment horizontal="center" vertical="center"/>
    </xf>
    <xf numFmtId="0" fontId="11" fillId="0" borderId="131" xfId="0" applyFont="1" applyBorder="1" applyAlignment="1">
      <alignment horizontal="center" vertical="center"/>
    </xf>
    <xf numFmtId="0" fontId="0" fillId="3" borderId="158" xfId="0" applyFill="1" applyBorder="1"/>
    <xf numFmtId="0" fontId="11" fillId="2" borderId="31" xfId="3" applyFill="1" applyBorder="1"/>
    <xf numFmtId="0" fontId="11" fillId="0" borderId="18" xfId="3"/>
    <xf numFmtId="0" fontId="7" fillId="0" borderId="18" xfId="3" applyFont="1"/>
    <xf numFmtId="0" fontId="11" fillId="2" borderId="32" xfId="3" applyFill="1" applyBorder="1"/>
    <xf numFmtId="0" fontId="9" fillId="2" borderId="77" xfId="3" applyFont="1" applyFill="1" applyBorder="1" applyAlignment="1">
      <alignment horizontal="center" vertical="center" wrapText="1"/>
    </xf>
    <xf numFmtId="0" fontId="9" fillId="2" borderId="18" xfId="3" applyFont="1" applyFill="1" applyAlignment="1">
      <alignment horizontal="center" vertical="center" wrapText="1"/>
    </xf>
    <xf numFmtId="4" fontId="9" fillId="2" borderId="18" xfId="3" applyNumberFormat="1" applyFont="1" applyFill="1" applyAlignment="1">
      <alignment horizontal="center" vertical="center" wrapText="1"/>
    </xf>
    <xf numFmtId="0" fontId="2" fillId="0" borderId="65" xfId="4" applyFont="1" applyBorder="1" applyAlignment="1">
      <alignment horizontal="center" vertical="center" wrapText="1"/>
    </xf>
    <xf numFmtId="0" fontId="11" fillId="2" borderId="77" xfId="3" applyFill="1" applyBorder="1" applyAlignment="1">
      <alignment horizontal="center"/>
    </xf>
    <xf numFmtId="0" fontId="11" fillId="2" borderId="18" xfId="3" applyFill="1" applyAlignment="1">
      <alignment horizontal="center"/>
    </xf>
    <xf numFmtId="0" fontId="11" fillId="2" borderId="73" xfId="3" applyFill="1" applyBorder="1" applyAlignment="1">
      <alignment horizontal="center"/>
    </xf>
    <xf numFmtId="0" fontId="2" fillId="0" borderId="65" xfId="4" applyFont="1" applyBorder="1" applyAlignment="1">
      <alignment horizontal="left" wrapText="1"/>
    </xf>
    <xf numFmtId="0" fontId="4" fillId="2" borderId="154" xfId="0" applyFont="1" applyFill="1" applyBorder="1"/>
    <xf numFmtId="10" fontId="4" fillId="2" borderId="98" xfId="0" applyNumberFormat="1" applyFont="1" applyFill="1" applyBorder="1" applyAlignment="1">
      <alignment horizontal="center"/>
    </xf>
    <xf numFmtId="0" fontId="4" fillId="4" borderId="162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 wrapText="1"/>
    </xf>
    <xf numFmtId="0" fontId="4" fillId="4" borderId="163" xfId="0" applyFont="1" applyFill="1" applyBorder="1" applyAlignment="1">
      <alignment horizontal="center" vertical="center"/>
    </xf>
    <xf numFmtId="0" fontId="4" fillId="2" borderId="65" xfId="3" applyFont="1" applyFill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4" fontId="11" fillId="0" borderId="31" xfId="0" applyNumberFormat="1" applyFont="1" applyBorder="1" applyAlignment="1">
      <alignment horizontal="center" vertical="center" wrapText="1"/>
    </xf>
    <xf numFmtId="1" fontId="0" fillId="0" borderId="137" xfId="0" applyNumberFormat="1" applyBorder="1" applyAlignment="1">
      <alignment horizontal="center" vertical="center"/>
    </xf>
    <xf numFmtId="0" fontId="8" fillId="2" borderId="65" xfId="3" applyFont="1" applyFill="1" applyBorder="1" applyAlignment="1">
      <alignment horizontal="center" vertical="center" wrapText="1"/>
    </xf>
    <xf numFmtId="4" fontId="8" fillId="2" borderId="65" xfId="3" applyNumberFormat="1" applyFont="1" applyFill="1" applyBorder="1" applyAlignment="1">
      <alignment horizontal="center" vertical="center" wrapText="1"/>
    </xf>
    <xf numFmtId="0" fontId="4" fillId="3" borderId="141" xfId="0" applyFont="1" applyFill="1" applyBorder="1" applyAlignment="1">
      <alignment horizontal="center" vertical="center"/>
    </xf>
    <xf numFmtId="10" fontId="2" fillId="0" borderId="140" xfId="0" applyNumberFormat="1" applyFont="1" applyBorder="1" applyAlignment="1">
      <alignment horizontal="right" vertical="center"/>
    </xf>
    <xf numFmtId="10" fontId="4" fillId="0" borderId="140" xfId="0" applyNumberFormat="1" applyFont="1" applyBorder="1" applyAlignment="1">
      <alignment horizontal="right" vertical="center"/>
    </xf>
    <xf numFmtId="10" fontId="4" fillId="3" borderId="89" xfId="9" applyNumberFormat="1" applyFont="1" applyFill="1" applyBorder="1" applyAlignment="1">
      <alignment horizontal="center" vertical="center"/>
    </xf>
    <xf numFmtId="10" fontId="0" fillId="0" borderId="0" xfId="0" applyNumberFormat="1"/>
    <xf numFmtId="10" fontId="4" fillId="2" borderId="98" xfId="9" applyNumberFormat="1" applyFont="1" applyFill="1" applyBorder="1" applyAlignment="1">
      <alignment horizontal="center"/>
    </xf>
    <xf numFmtId="2" fontId="0" fillId="0" borderId="0" xfId="0" applyNumberFormat="1"/>
    <xf numFmtId="168" fontId="0" fillId="0" borderId="0" xfId="9" applyNumberFormat="1" applyFont="1" applyAlignment="1"/>
    <xf numFmtId="4" fontId="4" fillId="3" borderId="21" xfId="0" applyNumberFormat="1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left" vertical="center" wrapText="1"/>
    </xf>
    <xf numFmtId="4" fontId="4" fillId="3" borderId="51" xfId="0" applyNumberFormat="1" applyFont="1" applyFill="1" applyBorder="1" applyAlignment="1">
      <alignment horizontal="center" vertical="center" wrapText="1"/>
    </xf>
    <xf numFmtId="4" fontId="0" fillId="2" borderId="31" xfId="0" applyNumberFormat="1" applyFill="1" applyBorder="1" applyAlignment="1">
      <alignment horizontal="center" vertical="center" wrapText="1"/>
    </xf>
    <xf numFmtId="4" fontId="4" fillId="3" borderId="47" xfId="0" applyNumberFormat="1" applyFont="1" applyFill="1" applyBorder="1" applyAlignment="1">
      <alignment horizontal="center" vertical="center"/>
    </xf>
    <xf numFmtId="0" fontId="11" fillId="0" borderId="65" xfId="0" applyFont="1" applyBorder="1" applyAlignment="1">
      <alignment horizontal="left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2" borderId="18" xfId="3" applyFill="1" applyAlignment="1">
      <alignment horizontal="left"/>
    </xf>
    <xf numFmtId="4" fontId="4" fillId="2" borderId="18" xfId="3" applyNumberFormat="1" applyFont="1" applyFill="1" applyAlignment="1">
      <alignment horizontal="center" vertical="center"/>
    </xf>
    <xf numFmtId="4" fontId="4" fillId="2" borderId="73" xfId="3" applyNumberFormat="1" applyFont="1" applyFill="1" applyBorder="1" applyAlignment="1">
      <alignment horizontal="center" vertical="center"/>
    </xf>
    <xf numFmtId="164" fontId="4" fillId="2" borderId="65" xfId="3" applyNumberFormat="1" applyFont="1" applyFill="1" applyBorder="1" applyAlignment="1">
      <alignment vertical="center"/>
    </xf>
    <xf numFmtId="0" fontId="4" fillId="12" borderId="31" xfId="0" applyFont="1" applyFill="1" applyBorder="1" applyAlignment="1">
      <alignment horizontal="center" vertical="center" wrapText="1"/>
    </xf>
    <xf numFmtId="0" fontId="4" fillId="12" borderId="31" xfId="0" applyFont="1" applyFill="1" applyBorder="1" applyAlignment="1">
      <alignment horizontal="left" vertical="center" wrapText="1"/>
    </xf>
    <xf numFmtId="4" fontId="4" fillId="12" borderId="31" xfId="0" applyNumberFormat="1" applyFont="1" applyFill="1" applyBorder="1" applyAlignment="1">
      <alignment horizontal="center" vertical="center" wrapText="1"/>
    </xf>
    <xf numFmtId="4" fontId="4" fillId="12" borderId="40" xfId="0" applyNumberFormat="1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left" vertical="center" wrapText="1"/>
    </xf>
    <xf numFmtId="0" fontId="4" fillId="13" borderId="31" xfId="0" applyFont="1" applyFill="1" applyBorder="1" applyAlignment="1">
      <alignment horizontal="center" vertical="center" wrapText="1"/>
    </xf>
    <xf numFmtId="0" fontId="4" fillId="13" borderId="31" xfId="0" applyFont="1" applyFill="1" applyBorder="1" applyAlignment="1">
      <alignment horizontal="left" vertical="center" wrapText="1"/>
    </xf>
    <xf numFmtId="4" fontId="4" fillId="13" borderId="31" xfId="0" applyNumberFormat="1" applyFont="1" applyFill="1" applyBorder="1" applyAlignment="1">
      <alignment horizontal="center" vertical="center" wrapText="1"/>
    </xf>
    <xf numFmtId="4" fontId="4" fillId="13" borderId="40" xfId="0" applyNumberFormat="1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 wrapText="1"/>
    </xf>
    <xf numFmtId="4" fontId="0" fillId="2" borderId="18" xfId="0" applyNumberForma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4" fontId="8" fillId="2" borderId="65" xfId="0" applyNumberFormat="1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left" vertical="center" wrapText="1"/>
    </xf>
    <xf numFmtId="4" fontId="9" fillId="2" borderId="65" xfId="0" applyNumberFormat="1" applyFont="1" applyFill="1" applyBorder="1" applyAlignment="1">
      <alignment horizontal="center" vertical="center" wrapText="1"/>
    </xf>
    <xf numFmtId="4" fontId="9" fillId="2" borderId="65" xfId="3" applyNumberFormat="1" applyFont="1" applyFill="1" applyBorder="1" applyAlignment="1">
      <alignment horizontal="center" vertical="center" wrapText="1"/>
    </xf>
    <xf numFmtId="4" fontId="4" fillId="2" borderId="65" xfId="0" applyNumberFormat="1" applyFont="1" applyFill="1" applyBorder="1" applyAlignment="1">
      <alignment horizontal="center" vertical="center"/>
    </xf>
    <xf numFmtId="164" fontId="4" fillId="2" borderId="65" xfId="0" applyNumberFormat="1" applyFont="1" applyFill="1" applyBorder="1" applyAlignment="1">
      <alignment horizontal="center" vertical="center"/>
    </xf>
    <xf numFmtId="4" fontId="4" fillId="2" borderId="65" xfId="0" applyNumberFormat="1" applyFont="1" applyFill="1" applyBorder="1"/>
    <xf numFmtId="164" fontId="4" fillId="2" borderId="65" xfId="3" applyNumberFormat="1" applyFont="1" applyFill="1" applyBorder="1" applyAlignment="1">
      <alignment horizontal="center" vertical="center"/>
    </xf>
    <xf numFmtId="0" fontId="9" fillId="2" borderId="65" xfId="3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4" fontId="0" fillId="0" borderId="65" xfId="0" applyNumberFormat="1" applyBorder="1" applyAlignment="1">
      <alignment horizontal="center" vertical="center" wrapText="1"/>
    </xf>
    <xf numFmtId="4" fontId="4" fillId="2" borderId="65" xfId="3" applyNumberFormat="1" applyFont="1" applyFill="1" applyBorder="1" applyAlignment="1">
      <alignment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8" xfId="3" applyNumberFormat="1" applyFont="1" applyFill="1" applyAlignment="1">
      <alignment horizontal="center" vertical="center"/>
    </xf>
    <xf numFmtId="4" fontId="4" fillId="2" borderId="18" xfId="0" applyNumberFormat="1" applyFont="1" applyFill="1" applyBorder="1"/>
    <xf numFmtId="0" fontId="9" fillId="2" borderId="65" xfId="3" applyFont="1" applyFill="1" applyBorder="1" applyAlignment="1">
      <alignment horizontal="left" vertical="center" wrapText="1"/>
    </xf>
    <xf numFmtId="2" fontId="9" fillId="2" borderId="65" xfId="3" applyNumberFormat="1" applyFont="1" applyFill="1" applyBorder="1" applyAlignment="1">
      <alignment horizontal="center" vertical="center" wrapText="1"/>
    </xf>
    <xf numFmtId="14" fontId="9" fillId="2" borderId="65" xfId="0" applyNumberFormat="1" applyFont="1" applyFill="1" applyBorder="1" applyAlignment="1">
      <alignment horizontal="center" vertical="center" wrapText="1"/>
    </xf>
    <xf numFmtId="4" fontId="4" fillId="2" borderId="91" xfId="0" applyNumberFormat="1" applyFont="1" applyFill="1" applyBorder="1" applyAlignment="1">
      <alignment horizontal="center" vertical="center"/>
    </xf>
    <xf numFmtId="164" fontId="4" fillId="2" borderId="91" xfId="0" applyNumberFormat="1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left" vertical="center" wrapText="1"/>
    </xf>
    <xf numFmtId="10" fontId="0" fillId="0" borderId="31" xfId="9" applyNumberFormat="1" applyFont="1" applyBorder="1" applyAlignment="1">
      <alignment horizontal="center" vertical="center"/>
    </xf>
    <xf numFmtId="9" fontId="0" fillId="0" borderId="137" xfId="9" applyFont="1" applyBorder="1" applyAlignment="1">
      <alignment horizontal="center" vertical="center"/>
    </xf>
    <xf numFmtId="0" fontId="11" fillId="2" borderId="65" xfId="3" applyFill="1" applyBorder="1"/>
    <xf numFmtId="0" fontId="9" fillId="2" borderId="164" xfId="3" applyFont="1" applyFill="1" applyBorder="1" applyAlignment="1">
      <alignment horizontal="center" vertical="center" wrapText="1"/>
    </xf>
    <xf numFmtId="0" fontId="9" fillId="2" borderId="90" xfId="3" applyFont="1" applyFill="1" applyBorder="1" applyAlignment="1">
      <alignment horizontal="left" vertical="center" wrapText="1"/>
    </xf>
    <xf numFmtId="0" fontId="9" fillId="2" borderId="90" xfId="3" applyFont="1" applyFill="1" applyBorder="1" applyAlignment="1">
      <alignment horizontal="center" vertical="center" wrapText="1"/>
    </xf>
    <xf numFmtId="4" fontId="9" fillId="2" borderId="90" xfId="3" applyNumberFormat="1" applyFont="1" applyFill="1" applyBorder="1" applyAlignment="1">
      <alignment horizontal="center" vertical="center" wrapText="1"/>
    </xf>
    <xf numFmtId="0" fontId="4" fillId="2" borderId="90" xfId="3" applyFont="1" applyFill="1" applyBorder="1" applyAlignment="1">
      <alignment horizontal="center" vertical="center" wrapText="1"/>
    </xf>
    <xf numFmtId="0" fontId="4" fillId="2" borderId="169" xfId="3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left" vertical="center" wrapText="1"/>
    </xf>
    <xf numFmtId="0" fontId="4" fillId="2" borderId="56" xfId="3" applyFont="1" applyFill="1" applyBorder="1" applyAlignment="1">
      <alignment horizontal="center" vertical="center" wrapText="1"/>
    </xf>
    <xf numFmtId="0" fontId="4" fillId="2" borderId="175" xfId="3" applyFont="1" applyFill="1" applyBorder="1" applyAlignment="1">
      <alignment horizontal="center" vertical="center" wrapText="1"/>
    </xf>
    <xf numFmtId="0" fontId="2" fillId="15" borderId="90" xfId="3" applyFont="1" applyFill="1" applyBorder="1" applyAlignment="1">
      <alignment horizontal="center"/>
    </xf>
    <xf numFmtId="0" fontId="2" fillId="15" borderId="169" xfId="3" applyFont="1" applyFill="1" applyBorder="1" applyAlignment="1">
      <alignment horizontal="center"/>
    </xf>
    <xf numFmtId="0" fontId="4" fillId="9" borderId="65" xfId="3" applyFont="1" applyFill="1" applyBorder="1" applyAlignment="1">
      <alignment vertical="center" wrapText="1"/>
    </xf>
    <xf numFmtId="0" fontId="4" fillId="5" borderId="65" xfId="0" applyFont="1" applyFill="1" applyBorder="1" applyAlignment="1">
      <alignment horizontal="center" vertical="center" wrapText="1"/>
    </xf>
    <xf numFmtId="0" fontId="4" fillId="5" borderId="65" xfId="0" applyFont="1" applyFill="1" applyBorder="1" applyAlignment="1">
      <alignment horizontal="left" vertical="center" wrapText="1"/>
    </xf>
    <xf numFmtId="4" fontId="4" fillId="5" borderId="65" xfId="0" applyNumberFormat="1" applyFont="1" applyFill="1" applyBorder="1" applyAlignment="1">
      <alignment horizontal="center" vertical="center" wrapText="1"/>
    </xf>
    <xf numFmtId="4" fontId="4" fillId="5" borderId="65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 wrapText="1"/>
    </xf>
    <xf numFmtId="4" fontId="0" fillId="0" borderId="65" xfId="0" applyNumberFormat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5" borderId="51" xfId="0" applyFont="1" applyFill="1" applyBorder="1" applyAlignment="1">
      <alignment horizontal="left" vertical="center" wrapText="1"/>
    </xf>
    <xf numFmtId="0" fontId="4" fillId="3" borderId="65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left" vertical="center"/>
    </xf>
    <xf numFmtId="0" fontId="4" fillId="2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4" fillId="4" borderId="21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22" xfId="0" applyFont="1" applyBorder="1"/>
    <xf numFmtId="0" fontId="4" fillId="3" borderId="108" xfId="0" applyFont="1" applyFill="1" applyBorder="1" applyAlignment="1">
      <alignment horizontal="center" vertical="center"/>
    </xf>
    <xf numFmtId="0" fontId="2" fillId="0" borderId="108" xfId="0" applyFont="1" applyBorder="1"/>
    <xf numFmtId="0" fontId="2" fillId="0" borderId="109" xfId="0" applyFont="1" applyBorder="1"/>
    <xf numFmtId="0" fontId="0" fillId="0" borderId="25" xfId="0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4" fontId="0" fillId="0" borderId="6" xfId="0" applyNumberFormat="1" applyBorder="1" applyAlignment="1">
      <alignment horizontal="center" vertical="center"/>
    </xf>
    <xf numFmtId="0" fontId="2" fillId="0" borderId="7" xfId="0" applyFont="1" applyBorder="1"/>
    <xf numFmtId="0" fontId="2" fillId="0" borderId="29" xfId="0" applyFont="1" applyBorder="1"/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0" fillId="0" borderId="6" xfId="0" applyBorder="1" applyAlignment="1">
      <alignment horizontal="left"/>
    </xf>
    <xf numFmtId="0" fontId="2" fillId="0" borderId="8" xfId="0" applyFont="1" applyBorder="1"/>
    <xf numFmtId="14" fontId="0" fillId="0" borderId="10" xfId="0" applyNumberForma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4" fillId="3" borderId="14" xfId="0" applyFont="1" applyFill="1" applyBorder="1" applyAlignment="1">
      <alignment horizontal="center" vertical="center"/>
    </xf>
    <xf numFmtId="0" fontId="2" fillId="0" borderId="16" xfId="0" applyFont="1" applyBorder="1"/>
    <xf numFmtId="0" fontId="13" fillId="0" borderId="67" xfId="0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13" fillId="0" borderId="62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0" fillId="0" borderId="65" xfId="0" applyBorder="1" applyAlignment="1">
      <alignment horizontal="center"/>
    </xf>
    <xf numFmtId="0" fontId="0" fillId="0" borderId="64" xfId="0" applyBorder="1" applyAlignment="1">
      <alignment horizontal="center"/>
    </xf>
    <xf numFmtId="0" fontId="13" fillId="0" borderId="63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0" fillId="0" borderId="66" xfId="0" applyBorder="1" applyAlignment="1">
      <alignment horizontal="center"/>
    </xf>
    <xf numFmtId="0" fontId="0" fillId="0" borderId="69" xfId="0" applyBorder="1" applyAlignment="1">
      <alignment horizontal="center"/>
    </xf>
    <xf numFmtId="0" fontId="13" fillId="0" borderId="61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0" fontId="0" fillId="0" borderId="47" xfId="0" applyBorder="1" applyAlignment="1">
      <alignment horizontal="center" vertical="center"/>
    </xf>
    <xf numFmtId="0" fontId="2" fillId="0" borderId="45" xfId="0" applyFont="1" applyBorder="1"/>
    <xf numFmtId="0" fontId="2" fillId="0" borderId="46" xfId="0" applyFont="1" applyBorder="1"/>
    <xf numFmtId="0" fontId="0" fillId="0" borderId="56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79" xfId="0" applyBorder="1" applyAlignment="1">
      <alignment horizontal="center"/>
    </xf>
    <xf numFmtId="0" fontId="13" fillId="0" borderId="75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167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168" xfId="0" applyFont="1" applyBorder="1" applyAlignment="1">
      <alignment horizontal="center" vertical="center"/>
    </xf>
    <xf numFmtId="0" fontId="0" fillId="0" borderId="95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165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168" xfId="0" applyBorder="1" applyAlignment="1">
      <alignment horizontal="center"/>
    </xf>
    <xf numFmtId="0" fontId="13" fillId="0" borderId="101" xfId="0" applyFont="1" applyBorder="1" applyAlignment="1">
      <alignment horizontal="center"/>
    </xf>
    <xf numFmtId="0" fontId="13" fillId="0" borderId="90" xfId="0" applyFont="1" applyBorder="1" applyAlignment="1">
      <alignment horizontal="center"/>
    </xf>
    <xf numFmtId="0" fontId="13" fillId="0" borderId="169" xfId="0" applyFont="1" applyBorder="1" applyAlignment="1">
      <alignment horizontal="center"/>
    </xf>
    <xf numFmtId="0" fontId="13" fillId="0" borderId="106" xfId="0" applyFont="1" applyBorder="1" applyAlignment="1">
      <alignment horizontal="center"/>
    </xf>
    <xf numFmtId="0" fontId="13" fillId="0" borderId="107" xfId="0" applyFont="1" applyBorder="1" applyAlignment="1">
      <alignment horizontal="center"/>
    </xf>
    <xf numFmtId="0" fontId="13" fillId="0" borderId="170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4" fillId="2" borderId="143" xfId="0" applyFont="1" applyFill="1" applyBorder="1" applyAlignment="1">
      <alignment horizontal="center" vertical="center"/>
    </xf>
    <xf numFmtId="0" fontId="4" fillId="2" borderId="144" xfId="0" applyFont="1" applyFill="1" applyBorder="1" applyAlignment="1">
      <alignment horizontal="center" vertical="center"/>
    </xf>
    <xf numFmtId="0" fontId="4" fillId="2" borderId="145" xfId="0" applyFont="1" applyFill="1" applyBorder="1" applyAlignment="1">
      <alignment horizontal="center" vertical="center"/>
    </xf>
    <xf numFmtId="0" fontId="20" fillId="11" borderId="54" xfId="0" applyFont="1" applyFill="1" applyBorder="1" applyAlignment="1">
      <alignment horizontal="left" vertical="top" wrapText="1"/>
    </xf>
    <xf numFmtId="0" fontId="13" fillId="11" borderId="96" xfId="0" applyFont="1" applyFill="1" applyBorder="1" applyAlignment="1">
      <alignment horizontal="left" vertical="top" wrapText="1"/>
    </xf>
    <xf numFmtId="0" fontId="13" fillId="11" borderId="159" xfId="0" applyFont="1" applyFill="1" applyBorder="1" applyAlignment="1">
      <alignment horizontal="left" vertical="top" wrapText="1"/>
    </xf>
    <xf numFmtId="0" fontId="13" fillId="11" borderId="94" xfId="0" applyFont="1" applyFill="1" applyBorder="1" applyAlignment="1">
      <alignment horizontal="left" vertical="top" wrapText="1"/>
    </xf>
    <xf numFmtId="0" fontId="0" fillId="0" borderId="164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14" fontId="0" fillId="0" borderId="166" xfId="0" applyNumberFormat="1" applyBorder="1" applyAlignment="1">
      <alignment horizontal="left" vertical="center"/>
    </xf>
    <xf numFmtId="0" fontId="0" fillId="0" borderId="107" xfId="0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4" fillId="3" borderId="116" xfId="0" applyFont="1" applyFill="1" applyBorder="1" applyAlignment="1">
      <alignment horizontal="right" vertical="center"/>
    </xf>
    <xf numFmtId="0" fontId="2" fillId="0" borderId="116" xfId="0" applyFont="1" applyBorder="1" applyAlignment="1">
      <alignment horizontal="right"/>
    </xf>
    <xf numFmtId="0" fontId="2" fillId="0" borderId="117" xfId="0" applyFont="1" applyBorder="1" applyAlignment="1">
      <alignment horizontal="right"/>
    </xf>
    <xf numFmtId="0" fontId="2" fillId="0" borderId="53" xfId="0" applyFont="1" applyBorder="1"/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11" fillId="0" borderId="103" xfId="0" applyFont="1" applyBorder="1" applyAlignment="1">
      <alignment horizontal="left" vertical="center"/>
    </xf>
    <xf numFmtId="0" fontId="0" fillId="0" borderId="104" xfId="0" applyBorder="1" applyAlignment="1">
      <alignment horizontal="left" vertical="center"/>
    </xf>
    <xf numFmtId="0" fontId="0" fillId="0" borderId="105" xfId="0" applyBorder="1" applyAlignment="1">
      <alignment horizontal="left" vertical="center"/>
    </xf>
    <xf numFmtId="0" fontId="11" fillId="0" borderId="78" xfId="0" applyFont="1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18" xfId="0" applyBorder="1" applyAlignment="1">
      <alignment horizontal="center"/>
    </xf>
    <xf numFmtId="0" fontId="11" fillId="0" borderId="82" xfId="0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1" fillId="0" borderId="101" xfId="0" applyFont="1" applyBorder="1" applyAlignment="1">
      <alignment horizontal="left" vertical="center"/>
    </xf>
    <xf numFmtId="0" fontId="0" fillId="0" borderId="101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07" xfId="0" applyBorder="1" applyAlignment="1">
      <alignment horizontal="center"/>
    </xf>
    <xf numFmtId="0" fontId="0" fillId="0" borderId="81" xfId="0" applyBorder="1" applyAlignment="1">
      <alignment horizontal="center"/>
    </xf>
    <xf numFmtId="0" fontId="11" fillId="0" borderId="92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7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73" xfId="0" applyFont="1" applyBorder="1" applyAlignment="1">
      <alignment horizontal="center"/>
    </xf>
    <xf numFmtId="0" fontId="11" fillId="0" borderId="95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96" xfId="0" applyFont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53" xfId="0" applyFont="1" applyFill="1" applyBorder="1" applyAlignment="1">
      <alignment horizontal="center"/>
    </xf>
    <xf numFmtId="0" fontId="2" fillId="0" borderId="70" xfId="0" applyFont="1" applyBorder="1"/>
    <xf numFmtId="0" fontId="2" fillId="0" borderId="71" xfId="0" applyFont="1" applyBorder="1"/>
    <xf numFmtId="0" fontId="0" fillId="3" borderId="33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2" fillId="0" borderId="34" xfId="0" applyFont="1" applyBorder="1"/>
    <xf numFmtId="0" fontId="2" fillId="0" borderId="72" xfId="0" applyFont="1" applyBorder="1"/>
    <xf numFmtId="0" fontId="11" fillId="0" borderId="40" xfId="0" applyFont="1" applyBorder="1" applyAlignment="1">
      <alignment horizontal="left"/>
    </xf>
    <xf numFmtId="0" fontId="0" fillId="0" borderId="7" xfId="0" applyBorder="1" applyAlignment="1">
      <alignment horizontal="left"/>
    </xf>
    <xf numFmtId="14" fontId="11" fillId="2" borderId="41" xfId="0" applyNumberFormat="1" applyFont="1" applyFill="1" applyBorder="1" applyAlignment="1">
      <alignment horizontal="left"/>
    </xf>
    <xf numFmtId="14" fontId="0" fillId="2" borderId="42" xfId="0" applyNumberFormat="1" applyFill="1" applyBorder="1" applyAlignment="1">
      <alignment horizontal="left"/>
    </xf>
    <xf numFmtId="0" fontId="4" fillId="0" borderId="6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2" borderId="87" xfId="0" applyFont="1" applyFill="1" applyBorder="1" applyAlignment="1">
      <alignment horizontal="center"/>
    </xf>
    <xf numFmtId="0" fontId="4" fillId="2" borderId="88" xfId="0" applyFont="1" applyFill="1" applyBorder="1" applyAlignment="1">
      <alignment horizontal="center"/>
    </xf>
    <xf numFmtId="0" fontId="4" fillId="2" borderId="89" xfId="0" applyFont="1" applyFill="1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11" fillId="0" borderId="65" xfId="0" applyFont="1" applyBorder="1" applyAlignment="1">
      <alignment horizontal="left" wrapText="1"/>
    </xf>
    <xf numFmtId="0" fontId="0" fillId="0" borderId="65" xfId="0" applyBorder="1" applyAlignment="1">
      <alignment horizontal="left"/>
    </xf>
    <xf numFmtId="0" fontId="0" fillId="0" borderId="164" xfId="0" applyBorder="1" applyAlignment="1">
      <alignment horizontal="left"/>
    </xf>
    <xf numFmtId="0" fontId="11" fillId="0" borderId="65" xfId="0" applyFont="1" applyBorder="1" applyAlignment="1">
      <alignment horizontal="left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0" fontId="4" fillId="2" borderId="79" xfId="0" applyFont="1" applyFill="1" applyBorder="1" applyAlignment="1">
      <alignment horizontal="center" vertical="center" wrapText="1"/>
    </xf>
    <xf numFmtId="14" fontId="11" fillId="2" borderId="154" xfId="0" applyNumberFormat="1" applyFont="1" applyFill="1" applyBorder="1" applyAlignment="1">
      <alignment horizontal="left"/>
    </xf>
    <xf numFmtId="14" fontId="0" fillId="2" borderId="154" xfId="0" applyNumberFormat="1" applyFill="1" applyBorder="1" applyAlignment="1">
      <alignment horizontal="left"/>
    </xf>
    <xf numFmtId="14" fontId="0" fillId="2" borderId="54" xfId="0" applyNumberFormat="1" applyFill="1" applyBorder="1" applyAlignment="1">
      <alignment horizontal="left"/>
    </xf>
    <xf numFmtId="0" fontId="4" fillId="4" borderId="58" xfId="0" applyFont="1" applyFill="1" applyBorder="1" applyAlignment="1">
      <alignment horizontal="center"/>
    </xf>
    <xf numFmtId="0" fontId="4" fillId="4" borderId="59" xfId="0" applyFont="1" applyFill="1" applyBorder="1" applyAlignment="1">
      <alignment horizontal="center"/>
    </xf>
    <xf numFmtId="0" fontId="2" fillId="0" borderId="59" xfId="0" applyFont="1" applyBorder="1"/>
    <xf numFmtId="0" fontId="2" fillId="0" borderId="60" xfId="0" applyFont="1" applyBorder="1"/>
    <xf numFmtId="0" fontId="11" fillId="11" borderId="92" xfId="0" applyFont="1" applyFill="1" applyBorder="1" applyAlignment="1">
      <alignment horizontal="center" vertical="center" wrapText="1"/>
    </xf>
    <xf numFmtId="0" fontId="11" fillId="11" borderId="76" xfId="0" applyFont="1" applyFill="1" applyBorder="1" applyAlignment="1">
      <alignment horizontal="center" vertical="center" wrapText="1"/>
    </xf>
    <xf numFmtId="0" fontId="11" fillId="11" borderId="97" xfId="0" applyFont="1" applyFill="1" applyBorder="1" applyAlignment="1">
      <alignment horizontal="center" vertical="center" wrapText="1"/>
    </xf>
    <xf numFmtId="0" fontId="11" fillId="11" borderId="79" xfId="0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/>
    </xf>
    <xf numFmtId="0" fontId="0" fillId="0" borderId="92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94" xfId="0" applyBorder="1" applyAlignment="1">
      <alignment horizontal="center"/>
    </xf>
    <xf numFmtId="0" fontId="11" fillId="0" borderId="97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8" fillId="2" borderId="146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2" fillId="0" borderId="147" xfId="0" applyFont="1" applyBorder="1"/>
    <xf numFmtId="0" fontId="0" fillId="2" borderId="6" xfId="0" applyFill="1" applyBorder="1" applyAlignment="1">
      <alignment horizontal="left" vertical="center"/>
    </xf>
    <xf numFmtId="14" fontId="0" fillId="2" borderId="6" xfId="0" applyNumberFormat="1" applyFill="1" applyBorder="1" applyAlignment="1">
      <alignment horizontal="left" vertical="center"/>
    </xf>
    <xf numFmtId="0" fontId="4" fillId="4" borderId="143" xfId="0" applyFont="1" applyFill="1" applyBorder="1" applyAlignment="1">
      <alignment horizontal="center" vertical="center"/>
    </xf>
    <xf numFmtId="0" fontId="2" fillId="0" borderId="144" xfId="0" applyFont="1" applyBorder="1"/>
    <xf numFmtId="0" fontId="2" fillId="0" borderId="145" xfId="0" applyFont="1" applyBorder="1"/>
    <xf numFmtId="0" fontId="13" fillId="0" borderId="7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73" xfId="0" applyFont="1" applyBorder="1" applyAlignment="1">
      <alignment horizontal="center" vertical="center" wrapText="1"/>
    </xf>
    <xf numFmtId="0" fontId="13" fillId="0" borderId="78" xfId="0" applyFont="1" applyBorder="1" applyAlignment="1">
      <alignment horizontal="center" vertical="center" wrapText="1"/>
    </xf>
    <xf numFmtId="0" fontId="13" fillId="0" borderId="97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1" fillId="0" borderId="95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11" fillId="0" borderId="7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73" xfId="0" applyFont="1" applyBorder="1" applyAlignment="1">
      <alignment horizontal="left" vertical="center"/>
    </xf>
    <xf numFmtId="0" fontId="11" fillId="0" borderId="78" xfId="0" applyFont="1" applyBorder="1" applyAlignment="1">
      <alignment horizontal="left" vertical="center"/>
    </xf>
    <xf numFmtId="0" fontId="11" fillId="0" borderId="97" xfId="0" applyFont="1" applyBorder="1" applyAlignment="1">
      <alignment horizontal="left" vertical="center"/>
    </xf>
    <xf numFmtId="0" fontId="11" fillId="0" borderId="79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top"/>
    </xf>
    <xf numFmtId="0" fontId="11" fillId="0" borderId="92" xfId="0" applyFont="1" applyBorder="1" applyAlignment="1">
      <alignment horizontal="left" vertical="top"/>
    </xf>
    <xf numFmtId="0" fontId="11" fillId="0" borderId="76" xfId="0" applyFont="1" applyBorder="1" applyAlignment="1">
      <alignment horizontal="left" vertical="top"/>
    </xf>
    <xf numFmtId="0" fontId="11" fillId="0" borderId="78" xfId="0" applyFont="1" applyBorder="1" applyAlignment="1">
      <alignment horizontal="left" vertical="top"/>
    </xf>
    <xf numFmtId="0" fontId="11" fillId="0" borderId="97" xfId="0" applyFont="1" applyBorder="1" applyAlignment="1">
      <alignment horizontal="left" vertical="top"/>
    </xf>
    <xf numFmtId="0" fontId="11" fillId="0" borderId="79" xfId="0" applyFont="1" applyBorder="1" applyAlignment="1">
      <alignment horizontal="left" vertical="top"/>
    </xf>
    <xf numFmtId="0" fontId="11" fillId="0" borderId="75" xfId="0" applyFont="1" applyBorder="1" applyAlignment="1">
      <alignment horizontal="left" vertical="center"/>
    </xf>
    <xf numFmtId="0" fontId="11" fillId="0" borderId="92" xfId="0" applyFont="1" applyBorder="1" applyAlignment="1">
      <alignment horizontal="left" vertical="center"/>
    </xf>
    <xf numFmtId="0" fontId="11" fillId="0" borderId="76" xfId="0" applyFont="1" applyBorder="1" applyAlignment="1">
      <alignment horizontal="left" vertical="center"/>
    </xf>
    <xf numFmtId="0" fontId="0" fillId="0" borderId="7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128" xfId="0" applyBorder="1" applyAlignment="1">
      <alignment horizontal="left"/>
    </xf>
    <xf numFmtId="0" fontId="2" fillId="0" borderId="129" xfId="0" applyFont="1" applyBorder="1"/>
    <xf numFmtId="0" fontId="2" fillId="0" borderId="130" xfId="0" applyFont="1" applyBorder="1"/>
    <xf numFmtId="0" fontId="0" fillId="0" borderId="40" xfId="0" applyBorder="1" applyAlignment="1">
      <alignment horizontal="left"/>
    </xf>
    <xf numFmtId="0" fontId="2" fillId="0" borderId="132" xfId="0" applyFont="1" applyBorder="1"/>
    <xf numFmtId="14" fontId="0" fillId="0" borderId="40" xfId="0" applyNumberFormat="1" applyBorder="1" applyAlignment="1">
      <alignment horizontal="left"/>
    </xf>
    <xf numFmtId="0" fontId="4" fillId="0" borderId="112" xfId="0" applyFont="1" applyBorder="1" applyAlignment="1">
      <alignment horizontal="center" vertical="center"/>
    </xf>
    <xf numFmtId="0" fontId="2" fillId="0" borderId="112" xfId="0" applyFont="1" applyBorder="1"/>
    <xf numFmtId="0" fontId="2" fillId="0" borderId="119" xfId="0" applyFont="1" applyBorder="1"/>
    <xf numFmtId="0" fontId="4" fillId="0" borderId="48" xfId="0" applyFont="1" applyBorder="1" applyAlignment="1">
      <alignment horizontal="center" vertical="center"/>
    </xf>
    <xf numFmtId="0" fontId="2" fillId="0" borderId="48" xfId="0" applyFont="1" applyBorder="1"/>
    <xf numFmtId="0" fontId="2" fillId="0" borderId="51" xfId="0" applyFont="1" applyBorder="1"/>
    <xf numFmtId="0" fontId="4" fillId="0" borderId="49" xfId="0" applyFont="1" applyBorder="1" applyAlignment="1">
      <alignment horizontal="center" vertical="center"/>
    </xf>
    <xf numFmtId="0" fontId="2" fillId="0" borderId="50" xfId="0" applyFont="1" applyBorder="1"/>
    <xf numFmtId="0" fontId="2" fillId="0" borderId="47" xfId="0" applyFont="1" applyBorder="1"/>
    <xf numFmtId="0" fontId="4" fillId="4" borderId="134" xfId="0" applyFont="1" applyFill="1" applyBorder="1" applyAlignment="1">
      <alignment horizontal="center" vertical="center"/>
    </xf>
    <xf numFmtId="0" fontId="2" fillId="0" borderId="135" xfId="0" applyFont="1" applyBorder="1"/>
    <xf numFmtId="0" fontId="4" fillId="0" borderId="47" xfId="0" applyFont="1" applyBorder="1" applyAlignment="1">
      <alignment horizontal="center" vertical="center"/>
    </xf>
    <xf numFmtId="0" fontId="2" fillId="0" borderId="136" xfId="0" applyFont="1" applyBorder="1"/>
    <xf numFmtId="0" fontId="4" fillId="0" borderId="40" xfId="0" applyFont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 wrapText="1"/>
    </xf>
    <xf numFmtId="0" fontId="4" fillId="2" borderId="165" xfId="3" applyFont="1" applyFill="1" applyBorder="1" applyAlignment="1">
      <alignment horizontal="center" vertical="center" wrapText="1"/>
    </xf>
    <xf numFmtId="0" fontId="4" fillId="2" borderId="56" xfId="3" applyFont="1" applyFill="1" applyBorder="1" applyAlignment="1">
      <alignment horizontal="center" vertical="center" wrapText="1"/>
    </xf>
    <xf numFmtId="0" fontId="4" fillId="2" borderId="175" xfId="3" applyFont="1" applyFill="1" applyBorder="1" applyAlignment="1">
      <alignment horizontal="center" vertical="center" wrapText="1"/>
    </xf>
    <xf numFmtId="0" fontId="2" fillId="10" borderId="164" xfId="3" applyFont="1" applyFill="1" applyBorder="1" applyAlignment="1">
      <alignment horizontal="center" wrapText="1"/>
    </xf>
    <xf numFmtId="0" fontId="2" fillId="10" borderId="90" xfId="3" applyFont="1" applyFill="1" applyBorder="1" applyAlignment="1">
      <alignment horizontal="center" wrapText="1"/>
    </xf>
    <xf numFmtId="0" fontId="2" fillId="10" borderId="169" xfId="3" applyFont="1" applyFill="1" applyBorder="1" applyAlignment="1">
      <alignment horizontal="center" wrapText="1"/>
    </xf>
    <xf numFmtId="0" fontId="2" fillId="10" borderId="164" xfId="3" applyFont="1" applyFill="1" applyBorder="1" applyAlignment="1">
      <alignment horizontal="center" vertical="center" wrapText="1"/>
    </xf>
    <xf numFmtId="0" fontId="2" fillId="10" borderId="90" xfId="3" applyFont="1" applyFill="1" applyBorder="1" applyAlignment="1">
      <alignment horizontal="center" vertical="center" wrapText="1"/>
    </xf>
    <xf numFmtId="0" fontId="2" fillId="10" borderId="169" xfId="3" applyFont="1" applyFill="1" applyBorder="1" applyAlignment="1">
      <alignment horizontal="center" vertical="center" wrapText="1"/>
    </xf>
    <xf numFmtId="0" fontId="11" fillId="2" borderId="164" xfId="3" applyFill="1" applyBorder="1" applyAlignment="1">
      <alignment horizontal="center"/>
    </xf>
    <xf numFmtId="0" fontId="11" fillId="2" borderId="90" xfId="3" applyFill="1" applyBorder="1" applyAlignment="1">
      <alignment horizontal="center"/>
    </xf>
    <xf numFmtId="0" fontId="11" fillId="2" borderId="169" xfId="3" applyFill="1" applyBorder="1" applyAlignment="1">
      <alignment horizontal="center"/>
    </xf>
    <xf numFmtId="0" fontId="4" fillId="14" borderId="65" xfId="3" applyFont="1" applyFill="1" applyBorder="1" applyAlignment="1">
      <alignment horizontal="center" vertical="center"/>
    </xf>
    <xf numFmtId="0" fontId="2" fillId="15" borderId="65" xfId="3" applyFont="1" applyFill="1" applyBorder="1" applyAlignment="1">
      <alignment horizontal="center"/>
    </xf>
    <xf numFmtId="0" fontId="4" fillId="2" borderId="65" xfId="3" applyFont="1" applyFill="1" applyBorder="1" applyAlignment="1">
      <alignment horizontal="center" vertical="center" wrapText="1"/>
    </xf>
    <xf numFmtId="0" fontId="9" fillId="2" borderId="164" xfId="3" applyFont="1" applyFill="1" applyBorder="1" applyAlignment="1">
      <alignment horizontal="center" vertical="center" wrapText="1"/>
    </xf>
    <xf numFmtId="0" fontId="9" fillId="2" borderId="90" xfId="3" applyFont="1" applyFill="1" applyBorder="1" applyAlignment="1">
      <alignment horizontal="center" vertical="center" wrapText="1"/>
    </xf>
    <xf numFmtId="0" fontId="9" fillId="2" borderId="169" xfId="3" applyFont="1" applyFill="1" applyBorder="1" applyAlignment="1">
      <alignment horizontal="center" vertical="center" wrapText="1"/>
    </xf>
    <xf numFmtId="0" fontId="11" fillId="2" borderId="65" xfId="3" applyFill="1" applyBorder="1" applyAlignment="1">
      <alignment horizontal="left" vertical="center"/>
    </xf>
    <xf numFmtId="0" fontId="2" fillId="0" borderId="65" xfId="3" applyFont="1" applyBorder="1"/>
    <xf numFmtId="14" fontId="11" fillId="2" borderId="65" xfId="3" applyNumberFormat="1" applyFill="1" applyBorder="1" applyAlignment="1">
      <alignment horizontal="left" vertical="center"/>
    </xf>
    <xf numFmtId="0" fontId="11" fillId="2" borderId="65" xfId="3" applyFill="1" applyBorder="1" applyAlignment="1">
      <alignment horizontal="center"/>
    </xf>
    <xf numFmtId="0" fontId="4" fillId="2" borderId="65" xfId="3" applyFont="1" applyFill="1" applyBorder="1" applyAlignment="1">
      <alignment horizontal="center" vertical="center"/>
    </xf>
    <xf numFmtId="0" fontId="4" fillId="9" borderId="65" xfId="3" applyFont="1" applyFill="1" applyBorder="1" applyAlignment="1">
      <alignment horizontal="center" vertical="center"/>
    </xf>
    <xf numFmtId="0" fontId="2" fillId="10" borderId="65" xfId="3" applyFont="1" applyFill="1" applyBorder="1" applyAlignment="1">
      <alignment horizontal="center"/>
    </xf>
    <xf numFmtId="0" fontId="4" fillId="9" borderId="65" xfId="3" applyFont="1" applyFill="1" applyBorder="1" applyAlignment="1">
      <alignment horizontal="center" vertical="center" wrapText="1"/>
    </xf>
    <xf numFmtId="0" fontId="2" fillId="10" borderId="65" xfId="3" applyFont="1" applyFill="1" applyBorder="1" applyAlignment="1">
      <alignment horizontal="center" wrapText="1"/>
    </xf>
    <xf numFmtId="0" fontId="13" fillId="0" borderId="65" xfId="10" applyFont="1" applyBorder="1" applyAlignment="1">
      <alignment horizontal="center"/>
    </xf>
    <xf numFmtId="0" fontId="11" fillId="2" borderId="65" xfId="3" applyFill="1" applyBorder="1" applyAlignment="1">
      <alignment horizontal="center" vertical="center" wrapText="1"/>
    </xf>
    <xf numFmtId="0" fontId="13" fillId="0" borderId="65" xfId="10" applyFont="1" applyBorder="1" applyAlignment="1">
      <alignment horizontal="center" vertical="center"/>
    </xf>
    <xf numFmtId="0" fontId="0" fillId="0" borderId="65" xfId="10" applyFont="1" applyBorder="1" applyAlignment="1">
      <alignment horizontal="center"/>
    </xf>
    <xf numFmtId="0" fontId="8" fillId="2" borderId="65" xfId="0" applyFont="1" applyFill="1" applyBorder="1" applyAlignment="1">
      <alignment horizontal="center" vertical="center" wrapText="1"/>
    </xf>
    <xf numFmtId="0" fontId="2" fillId="0" borderId="65" xfId="0" applyFont="1" applyBorder="1"/>
    <xf numFmtId="0" fontId="4" fillId="9" borderId="75" xfId="3" applyFont="1" applyFill="1" applyBorder="1" applyAlignment="1">
      <alignment horizontal="center" vertical="center"/>
    </xf>
    <xf numFmtId="0" fontId="2" fillId="10" borderId="92" xfId="3" applyFont="1" applyFill="1" applyBorder="1" applyAlignment="1">
      <alignment horizontal="center"/>
    </xf>
    <xf numFmtId="0" fontId="2" fillId="10" borderId="76" xfId="3" applyFont="1" applyFill="1" applyBorder="1" applyAlignment="1">
      <alignment horizontal="center"/>
    </xf>
    <xf numFmtId="0" fontId="8" fillId="2" borderId="65" xfId="3" applyFont="1" applyFill="1" applyBorder="1" applyAlignment="1">
      <alignment horizontal="center" vertical="center" wrapText="1"/>
    </xf>
    <xf numFmtId="0" fontId="2" fillId="0" borderId="65" xfId="3" applyFont="1" applyBorder="1" applyAlignment="1">
      <alignment horizontal="center"/>
    </xf>
    <xf numFmtId="0" fontId="11" fillId="2" borderId="65" xfId="3" applyFill="1" applyBorder="1" applyAlignment="1">
      <alignment horizontal="left"/>
    </xf>
    <xf numFmtId="0" fontId="4" fillId="16" borderId="65" xfId="0" applyFont="1" applyFill="1" applyBorder="1" applyAlignment="1">
      <alignment horizontal="center" vertical="center"/>
    </xf>
    <xf numFmtId="0" fontId="0" fillId="0" borderId="65" xfId="0" applyBorder="1" applyAlignment="1">
      <alignment wrapText="1"/>
    </xf>
    <xf numFmtId="0" fontId="0" fillId="0" borderId="65" xfId="0" applyBorder="1" applyAlignment="1">
      <alignment vertical="center" wrapText="1"/>
    </xf>
    <xf numFmtId="0" fontId="4" fillId="2" borderId="75" xfId="3" applyFont="1" applyFill="1" applyBorder="1" applyAlignment="1">
      <alignment horizontal="center" vertical="center"/>
    </xf>
    <xf numFmtId="0" fontId="4" fillId="2" borderId="92" xfId="3" applyFont="1" applyFill="1" applyBorder="1" applyAlignment="1">
      <alignment horizontal="center" vertical="center"/>
    </xf>
    <xf numFmtId="0" fontId="4" fillId="2" borderId="76" xfId="3" applyFont="1" applyFill="1" applyBorder="1" applyAlignment="1">
      <alignment horizontal="center" vertical="center"/>
    </xf>
    <xf numFmtId="0" fontId="4" fillId="2" borderId="78" xfId="3" applyFont="1" applyFill="1" applyBorder="1" applyAlignment="1">
      <alignment horizontal="center" vertical="center"/>
    </xf>
    <xf numFmtId="0" fontId="4" fillId="2" borderId="97" xfId="3" applyFont="1" applyFill="1" applyBorder="1" applyAlignment="1">
      <alignment horizontal="center" vertical="center"/>
    </xf>
    <xf numFmtId="0" fontId="4" fillId="2" borderId="79" xfId="3" applyFont="1" applyFill="1" applyBorder="1" applyAlignment="1">
      <alignment horizontal="center" vertical="center"/>
    </xf>
    <xf numFmtId="4" fontId="4" fillId="2" borderId="65" xfId="3" applyNumberFormat="1" applyFont="1" applyFill="1" applyBorder="1" applyAlignment="1">
      <alignment horizontal="center" vertical="center"/>
    </xf>
    <xf numFmtId="0" fontId="11" fillId="2" borderId="40" xfId="3" applyFill="1" applyBorder="1" applyAlignment="1">
      <alignment horizontal="left" vertical="center"/>
    </xf>
    <xf numFmtId="0" fontId="2" fillId="0" borderId="7" xfId="3" applyFont="1" applyBorder="1"/>
    <xf numFmtId="0" fontId="2" fillId="0" borderId="29" xfId="3" applyFont="1" applyBorder="1"/>
    <xf numFmtId="14" fontId="11" fillId="2" borderId="33" xfId="3" applyNumberFormat="1" applyFill="1" applyBorder="1" applyAlignment="1">
      <alignment horizontal="left" vertical="center"/>
    </xf>
    <xf numFmtId="0" fontId="2" fillId="0" borderId="34" xfId="3" applyFont="1" applyBorder="1"/>
    <xf numFmtId="0" fontId="2" fillId="0" borderId="72" xfId="3" applyFont="1" applyBorder="1"/>
    <xf numFmtId="0" fontId="4" fillId="2" borderId="58" xfId="3" applyFont="1" applyFill="1" applyBorder="1" applyAlignment="1">
      <alignment horizontal="center" vertical="center"/>
    </xf>
    <xf numFmtId="0" fontId="4" fillId="2" borderId="59" xfId="3" applyFont="1" applyFill="1" applyBorder="1" applyAlignment="1">
      <alignment horizontal="center" vertical="center"/>
    </xf>
    <xf numFmtId="0" fontId="4" fillId="2" borderId="60" xfId="3" applyFont="1" applyFill="1" applyBorder="1" applyAlignment="1">
      <alignment horizontal="center" vertical="center"/>
    </xf>
    <xf numFmtId="0" fontId="11" fillId="2" borderId="75" xfId="3" applyFill="1" applyBorder="1" applyAlignment="1">
      <alignment horizontal="center"/>
    </xf>
    <xf numFmtId="0" fontId="11" fillId="2" borderId="92" xfId="3" applyFill="1" applyBorder="1" applyAlignment="1">
      <alignment horizontal="center"/>
    </xf>
    <xf numFmtId="0" fontId="11" fillId="2" borderId="76" xfId="3" applyFill="1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73" xfId="0" applyFill="1" applyBorder="1" applyAlignment="1">
      <alignment horizontal="center"/>
    </xf>
    <xf numFmtId="0" fontId="4" fillId="9" borderId="75" xfId="0" applyFont="1" applyFill="1" applyBorder="1" applyAlignment="1">
      <alignment horizontal="center" vertical="center"/>
    </xf>
    <xf numFmtId="0" fontId="2" fillId="10" borderId="92" xfId="0" applyFont="1" applyFill="1" applyBorder="1"/>
    <xf numFmtId="0" fontId="2" fillId="10" borderId="76" xfId="0" applyFont="1" applyFill="1" applyBorder="1"/>
    <xf numFmtId="0" fontId="11" fillId="2" borderId="77" xfId="3" applyFill="1" applyBorder="1" applyAlignment="1">
      <alignment horizontal="center"/>
    </xf>
    <xf numFmtId="0" fontId="11" fillId="2" borderId="18" xfId="3" applyFill="1" applyAlignment="1">
      <alignment horizontal="center"/>
    </xf>
    <xf numFmtId="0" fontId="11" fillId="2" borderId="73" xfId="3" applyFill="1" applyBorder="1" applyAlignment="1">
      <alignment horizontal="center"/>
    </xf>
    <xf numFmtId="0" fontId="11" fillId="2" borderId="78" xfId="3" applyFill="1" applyBorder="1" applyAlignment="1">
      <alignment horizontal="center"/>
    </xf>
    <xf numFmtId="0" fontId="11" fillId="2" borderId="97" xfId="3" applyFill="1" applyBorder="1" applyAlignment="1">
      <alignment horizontal="center"/>
    </xf>
    <xf numFmtId="0" fontId="11" fillId="2" borderId="79" xfId="3" applyFill="1" applyBorder="1" applyAlignment="1">
      <alignment horizontal="center"/>
    </xf>
    <xf numFmtId="0" fontId="0" fillId="0" borderId="65" xfId="0" applyBorder="1" applyAlignment="1">
      <alignment horizontal="left" vertical="center" wrapText="1"/>
    </xf>
    <xf numFmtId="0" fontId="0" fillId="0" borderId="65" xfId="0" applyBorder="1" applyAlignment="1">
      <alignment horizontal="left" wrapText="1"/>
    </xf>
    <xf numFmtId="0" fontId="4" fillId="3" borderId="121" xfId="0" applyFont="1" applyFill="1" applyBorder="1" applyAlignment="1">
      <alignment horizontal="right" vertical="center"/>
    </xf>
    <xf numFmtId="0" fontId="4" fillId="3" borderId="117" xfId="0" applyFont="1" applyFill="1" applyBorder="1" applyAlignment="1">
      <alignment horizontal="right" vertical="center"/>
    </xf>
    <xf numFmtId="0" fontId="4" fillId="0" borderId="124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0" fillId="0" borderId="49" xfId="0" applyBorder="1" applyAlignment="1">
      <alignment horizontal="left" vertical="center"/>
    </xf>
    <xf numFmtId="14" fontId="0" fillId="0" borderId="49" xfId="0" applyNumberFormat="1" applyBorder="1" applyAlignment="1">
      <alignment horizontal="left" vertical="center"/>
    </xf>
    <xf numFmtId="14" fontId="0" fillId="0" borderId="18" xfId="0" applyNumberFormat="1" applyBorder="1" applyAlignment="1">
      <alignment horizontal="left" vertical="center"/>
    </xf>
    <xf numFmtId="0" fontId="4" fillId="4" borderId="58" xfId="0" applyFont="1" applyFill="1" applyBorder="1" applyAlignment="1">
      <alignment horizontal="center" vertical="center"/>
    </xf>
    <xf numFmtId="0" fontId="4" fillId="4" borderId="5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0" fontId="4" fillId="0" borderId="91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14" fillId="0" borderId="64" xfId="0" applyFont="1" applyBorder="1"/>
    <xf numFmtId="0" fontId="14" fillId="0" borderId="65" xfId="0" applyFont="1" applyBorder="1"/>
    <xf numFmtId="0" fontId="4" fillId="3" borderId="118" xfId="0" applyFont="1" applyFill="1" applyBorder="1" applyAlignment="1">
      <alignment horizontal="right" vertical="center"/>
    </xf>
    <xf numFmtId="0" fontId="4" fillId="4" borderId="75" xfId="0" applyFont="1" applyFill="1" applyBorder="1" applyAlignment="1">
      <alignment horizontal="center" vertical="center"/>
    </xf>
    <xf numFmtId="0" fontId="4" fillId="4" borderId="92" xfId="0" applyFont="1" applyFill="1" applyBorder="1" applyAlignment="1">
      <alignment horizontal="center" vertical="center"/>
    </xf>
    <xf numFmtId="0" fontId="4" fillId="4" borderId="76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/>
    </xf>
    <xf numFmtId="0" fontId="11" fillId="0" borderId="75" xfId="0" applyFont="1" applyBorder="1" applyAlignment="1">
      <alignment horizontal="left" vertical="center" wrapText="1"/>
    </xf>
    <xf numFmtId="0" fontId="0" fillId="0" borderId="92" xfId="0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73" xfId="0" applyBorder="1" applyAlignment="1">
      <alignment horizontal="left" vertical="center" wrapText="1"/>
    </xf>
    <xf numFmtId="4" fontId="11" fillId="0" borderId="65" xfId="0" applyNumberFormat="1" applyFont="1" applyBorder="1" applyAlignment="1">
      <alignment horizontal="center" vertical="center"/>
    </xf>
    <xf numFmtId="0" fontId="11" fillId="0" borderId="7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0" fillId="0" borderId="65" xfId="0" applyBorder="1" applyAlignment="1">
      <alignment horizontal="left" vertical="center"/>
    </xf>
    <xf numFmtId="0" fontId="0" fillId="0" borderId="154" xfId="0" applyBorder="1" applyAlignment="1">
      <alignment horizontal="left" vertical="center"/>
    </xf>
    <xf numFmtId="0" fontId="4" fillId="0" borderId="85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9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right" vertical="center"/>
    </xf>
    <xf numFmtId="0" fontId="4" fillId="3" borderId="97" xfId="0" applyFont="1" applyFill="1" applyBorder="1" applyAlignment="1">
      <alignment horizontal="right" vertical="center"/>
    </xf>
    <xf numFmtId="0" fontId="4" fillId="3" borderId="115" xfId="0" applyFont="1" applyFill="1" applyBorder="1" applyAlignment="1">
      <alignment horizontal="right" vertical="center"/>
    </xf>
    <xf numFmtId="0" fontId="4" fillId="0" borderId="125" xfId="0" applyFont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16" fillId="0" borderId="61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7" borderId="87" xfId="0" applyFont="1" applyFill="1" applyBorder="1" applyAlignment="1">
      <alignment horizontal="center" vertical="center"/>
    </xf>
    <xf numFmtId="0" fontId="4" fillId="7" borderId="88" xfId="0" applyFont="1" applyFill="1" applyBorder="1" applyAlignment="1">
      <alignment horizontal="center" vertical="center"/>
    </xf>
    <xf numFmtId="0" fontId="4" fillId="7" borderId="89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left" vertical="center"/>
    </xf>
    <xf numFmtId="0" fontId="11" fillId="0" borderId="55" xfId="0" applyFont="1" applyBorder="1" applyAlignment="1">
      <alignment horizontal="left" vertical="center"/>
    </xf>
    <xf numFmtId="0" fontId="11" fillId="0" borderId="96" xfId="0" applyFont="1" applyBorder="1" applyAlignment="1">
      <alignment horizontal="left" vertical="center"/>
    </xf>
    <xf numFmtId="0" fontId="11" fillId="0" borderId="56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 wrapText="1"/>
    </xf>
    <xf numFmtId="0" fontId="14" fillId="0" borderId="64" xfId="0" applyFont="1" applyBorder="1" applyAlignment="1">
      <alignment wrapText="1"/>
    </xf>
    <xf numFmtId="0" fontId="11" fillId="0" borderId="68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2" xfId="0" applyFont="1" applyBorder="1" applyAlignment="1">
      <alignment horizontal="left" vertical="top"/>
    </xf>
    <xf numFmtId="0" fontId="11" fillId="0" borderId="63" xfId="0" applyFont="1" applyBorder="1" applyAlignment="1">
      <alignment horizontal="left" vertical="top"/>
    </xf>
    <xf numFmtId="0" fontId="11" fillId="0" borderId="65" xfId="0" applyFont="1" applyBorder="1" applyAlignment="1">
      <alignment horizontal="left" vertical="top"/>
    </xf>
    <xf numFmtId="0" fontId="11" fillId="0" borderId="66" xfId="0" applyFont="1" applyBorder="1" applyAlignment="1">
      <alignment horizontal="left" vertical="top"/>
    </xf>
    <xf numFmtId="0" fontId="11" fillId="0" borderId="102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/>
    </xf>
    <xf numFmtId="0" fontId="11" fillId="0" borderId="65" xfId="0" applyFont="1" applyBorder="1" applyAlignment="1">
      <alignment horizontal="center"/>
    </xf>
    <xf numFmtId="0" fontId="11" fillId="0" borderId="67" xfId="0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4" fillId="3" borderId="75" xfId="0" applyFont="1" applyFill="1" applyBorder="1" applyAlignment="1">
      <alignment horizontal="center" vertical="center"/>
    </xf>
    <xf numFmtId="0" fontId="4" fillId="3" borderId="92" xfId="0" applyFont="1" applyFill="1" applyBorder="1" applyAlignment="1">
      <alignment horizontal="center" vertical="center"/>
    </xf>
    <xf numFmtId="0" fontId="4" fillId="3" borderId="171" xfId="0" applyFont="1" applyFill="1" applyBorder="1" applyAlignment="1">
      <alignment horizontal="center" vertical="center"/>
    </xf>
    <xf numFmtId="0" fontId="11" fillId="0" borderId="7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73" xfId="0" applyFont="1" applyBorder="1" applyAlignment="1">
      <alignment horizontal="left" vertical="top"/>
    </xf>
    <xf numFmtId="0" fontId="4" fillId="0" borderId="7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72" xfId="0" applyFont="1" applyBorder="1" applyAlignment="1">
      <alignment horizontal="right" vertical="center"/>
    </xf>
    <xf numFmtId="0" fontId="2" fillId="0" borderId="7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2" xfId="0" applyFont="1" applyBorder="1" applyAlignment="1">
      <alignment horizontal="left" vertical="center"/>
    </xf>
    <xf numFmtId="0" fontId="11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64" xfId="0" applyFont="1" applyBorder="1" applyAlignment="1">
      <alignment horizontal="left" vertical="center"/>
    </xf>
    <xf numFmtId="0" fontId="0" fillId="0" borderId="66" xfId="0" applyBorder="1" applyAlignment="1">
      <alignment horizontal="left" vertical="center"/>
    </xf>
    <xf numFmtId="0" fontId="11" fillId="0" borderId="64" xfId="0" applyFont="1" applyBorder="1" applyAlignment="1">
      <alignment horizontal="left"/>
    </xf>
    <xf numFmtId="0" fontId="0" fillId="0" borderId="66" xfId="0" applyBorder="1" applyAlignment="1">
      <alignment horizontal="left"/>
    </xf>
    <xf numFmtId="0" fontId="0" fillId="0" borderId="95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13" fillId="0" borderId="7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0" fillId="0" borderId="92" xfId="0" applyBorder="1" applyAlignment="1">
      <alignment horizontal="left" vertical="top"/>
    </xf>
    <xf numFmtId="0" fontId="0" fillId="0" borderId="76" xfId="0" applyBorder="1" applyAlignment="1">
      <alignment horizontal="left" vertical="top"/>
    </xf>
    <xf numFmtId="0" fontId="0" fillId="0" borderId="7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73" xfId="0" applyBorder="1" applyAlignment="1">
      <alignment horizontal="left" vertical="top"/>
    </xf>
    <xf numFmtId="14" fontId="0" fillId="0" borderId="65" xfId="0" applyNumberFormat="1" applyBorder="1" applyAlignment="1">
      <alignment horizontal="left"/>
    </xf>
    <xf numFmtId="0" fontId="4" fillId="4" borderId="173" xfId="0" applyFont="1" applyFill="1" applyBorder="1" applyAlignment="1">
      <alignment horizontal="center" vertical="center"/>
    </xf>
    <xf numFmtId="0" fontId="2" fillId="0" borderId="174" xfId="0" applyFont="1" applyBorder="1"/>
    <xf numFmtId="0" fontId="4" fillId="0" borderId="18" xfId="0" applyFont="1" applyBorder="1" applyAlignment="1">
      <alignment horizontal="center"/>
    </xf>
    <xf numFmtId="10" fontId="4" fillId="2" borderId="18" xfId="0" applyNumberFormat="1" applyFont="1" applyFill="1" applyBorder="1" applyAlignment="1">
      <alignment horizontal="center"/>
    </xf>
    <xf numFmtId="4" fontId="4" fillId="3" borderId="18" xfId="0" applyNumberFormat="1" applyFont="1" applyFill="1" applyBorder="1" applyAlignment="1">
      <alignment horizontal="center"/>
    </xf>
    <xf numFmtId="0" fontId="11" fillId="11" borderId="18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/>
    </xf>
    <xf numFmtId="0" fontId="4" fillId="4" borderId="65" xfId="0" applyFont="1" applyFill="1" applyBorder="1" applyAlignment="1">
      <alignment horizontal="center" vertical="center"/>
    </xf>
    <xf numFmtId="0" fontId="4" fillId="4" borderId="6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left" vertical="center"/>
    </xf>
    <xf numFmtId="4" fontId="4" fillId="3" borderId="65" xfId="0" applyNumberFormat="1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 wrapText="1"/>
    </xf>
    <xf numFmtId="4" fontId="4" fillId="3" borderId="65" xfId="0" applyNumberFormat="1" applyFont="1" applyFill="1" applyBorder="1" applyAlignment="1">
      <alignment horizontal="center" vertical="center" wrapText="1"/>
    </xf>
    <xf numFmtId="0" fontId="4" fillId="12" borderId="65" xfId="0" applyFont="1" applyFill="1" applyBorder="1" applyAlignment="1">
      <alignment horizontal="center" vertical="center" wrapText="1"/>
    </xf>
    <xf numFmtId="0" fontId="4" fillId="12" borderId="65" xfId="0" applyFont="1" applyFill="1" applyBorder="1" applyAlignment="1">
      <alignment horizontal="left" vertical="center" wrapText="1"/>
    </xf>
    <xf numFmtId="4" fontId="4" fillId="12" borderId="65" xfId="0" applyNumberFormat="1" applyFont="1" applyFill="1" applyBorder="1" applyAlignment="1">
      <alignment horizontal="center" vertical="center" wrapText="1"/>
    </xf>
    <xf numFmtId="4" fontId="4" fillId="12" borderId="65" xfId="0" applyNumberFormat="1" applyFont="1" applyFill="1" applyBorder="1" applyAlignment="1">
      <alignment horizontal="center" vertical="center"/>
    </xf>
    <xf numFmtId="4" fontId="2" fillId="0" borderId="65" xfId="0" applyNumberFormat="1" applyFont="1" applyBorder="1" applyAlignment="1">
      <alignment horizontal="center" vertical="center" wrapText="1"/>
    </xf>
    <xf numFmtId="0" fontId="4" fillId="4" borderId="164" xfId="0" applyFont="1" applyFill="1" applyBorder="1" applyAlignment="1">
      <alignment horizontal="center" vertical="center"/>
    </xf>
    <xf numFmtId="4" fontId="4" fillId="3" borderId="164" xfId="0" applyNumberFormat="1" applyFont="1" applyFill="1" applyBorder="1" applyAlignment="1">
      <alignment horizontal="center" vertical="center"/>
    </xf>
    <xf numFmtId="4" fontId="0" fillId="0" borderId="164" xfId="0" applyNumberFormat="1" applyBorder="1" applyAlignment="1">
      <alignment horizontal="center" vertical="center" wrapText="1"/>
    </xf>
    <xf numFmtId="4" fontId="4" fillId="5" borderId="164" xfId="0" applyNumberFormat="1" applyFont="1" applyFill="1" applyBorder="1" applyAlignment="1">
      <alignment horizontal="center" vertical="center" wrapText="1"/>
    </xf>
    <xf numFmtId="4" fontId="4" fillId="3" borderId="164" xfId="0" applyNumberFormat="1" applyFont="1" applyFill="1" applyBorder="1" applyAlignment="1">
      <alignment horizontal="center" vertical="center" wrapText="1"/>
    </xf>
    <xf numFmtId="4" fontId="4" fillId="12" borderId="164" xfId="0" applyNumberFormat="1" applyFont="1" applyFill="1" applyBorder="1" applyAlignment="1">
      <alignment horizontal="center" vertical="center" wrapText="1"/>
    </xf>
    <xf numFmtId="0" fontId="4" fillId="4" borderId="154" xfId="0" applyFont="1" applyFill="1" applyBorder="1" applyAlignment="1">
      <alignment horizontal="center"/>
    </xf>
    <xf numFmtId="0" fontId="4" fillId="4" borderId="82" xfId="0" applyFont="1" applyFill="1" applyBorder="1" applyAlignment="1">
      <alignment horizontal="center" vertical="center" wrapText="1"/>
    </xf>
    <xf numFmtId="4" fontId="4" fillId="3" borderId="176" xfId="0" applyNumberFormat="1" applyFont="1" applyFill="1" applyBorder="1" applyAlignment="1">
      <alignment horizontal="center" vertical="center"/>
    </xf>
    <xf numFmtId="4" fontId="4" fillId="5" borderId="176" xfId="0" applyNumberFormat="1" applyFont="1" applyFill="1" applyBorder="1" applyAlignment="1">
      <alignment horizontal="center" vertical="center" wrapText="1"/>
    </xf>
    <xf numFmtId="4" fontId="4" fillId="3" borderId="176" xfId="0" applyNumberFormat="1" applyFont="1" applyFill="1" applyBorder="1" applyAlignment="1">
      <alignment horizontal="center" vertical="center" wrapText="1"/>
    </xf>
    <xf numFmtId="4" fontId="4" fillId="12" borderId="176" xfId="0" applyNumberFormat="1" applyFont="1" applyFill="1" applyBorder="1" applyAlignment="1">
      <alignment horizontal="center" vertical="center" wrapText="1"/>
    </xf>
    <xf numFmtId="4" fontId="4" fillId="0" borderId="176" xfId="0" applyNumberFormat="1" applyFont="1" applyBorder="1" applyAlignment="1">
      <alignment horizontal="center" vertical="center" wrapText="1"/>
    </xf>
  </cellXfs>
  <cellStyles count="11">
    <cellStyle name="Normal" xfId="0" builtinId="0"/>
    <cellStyle name="Normal 2" xfId="2" xr:uid="{00000000-0005-0000-0000-000001000000}"/>
    <cellStyle name="Normal 2 2" xfId="5" xr:uid="{00000000-0005-0000-0000-000002000000}"/>
    <cellStyle name="Normal 2 3" xfId="6" xr:uid="{00000000-0005-0000-0000-000003000000}"/>
    <cellStyle name="Normal 2 4" xfId="10" xr:uid="{00000000-0005-0000-0000-000004000000}"/>
    <cellStyle name="Normal 282 2" xfId="1" xr:uid="{00000000-0005-0000-0000-000005000000}"/>
    <cellStyle name="Normal 3" xfId="3" xr:uid="{00000000-0005-0000-0000-000006000000}"/>
    <cellStyle name="Normal 3 2" xfId="7" xr:uid="{00000000-0005-0000-0000-000007000000}"/>
    <cellStyle name="Normal 6" xfId="4" xr:uid="{00000000-0005-0000-0000-000008000000}"/>
    <cellStyle name="Porcentagem" xfId="9" builtinId="5"/>
    <cellStyle name="Porcentagem 2 3" xfId="8" xr:uid="{00000000-0005-0000-0000-00000A000000}"/>
  </cellStyles>
  <dxfs count="76"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26</xdr:row>
      <xdr:rowOff>0</xdr:rowOff>
    </xdr:from>
    <xdr:to>
      <xdr:col>2</xdr:col>
      <xdr:colOff>876300</xdr:colOff>
      <xdr:row>27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D1045B-0BF1-43D6-8075-F5A4C3FDD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057775"/>
          <a:ext cx="35052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17</xdr:row>
      <xdr:rowOff>57150</xdr:rowOff>
    </xdr:from>
    <xdr:to>
      <xdr:col>3</xdr:col>
      <xdr:colOff>0</xdr:colOff>
      <xdr:row>19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82A1FD-70EF-4F7F-A346-BA2622788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314700"/>
          <a:ext cx="35052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cala/Desktop/PREFEITURA%20INDIAVA&#205;/ESCOLA%20PAULINO%20MODESTO/00-%20Or&#231;amento/Users/JOAO%20GUSTAVO/Downloads/PLANILHA%20CRECHE%20MARCELINO%20-%20N&#195;O%20DESONERADO%20CORRETO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scala/Desktop/PREFEITURA%20INDIAVA&#205;/CLUBE%20INDIAVA&#205;%20ALTERADO/3-%20AN&#193;LISE/Users/JOAO%20GUSTAVO/Downloads/PLANILHA%20CRECHE%20MARCELINO%20-%20N&#195;O%20DESONERADO%20CORRET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ÇÃO"/>
      <sheetName val="PLANILHA NÃO DESONERADO"/>
      <sheetName val="COMPOSIÇÕES"/>
      <sheetName val="COTAÇÕES"/>
      <sheetName val="CRONOGRAMA"/>
      <sheetName val="BDI NÃO DESONERADO"/>
    </sheetNames>
    <sheetDataSet>
      <sheetData sheetId="0" refreshError="1"/>
      <sheetData sheetId="1" refreshError="1">
        <row r="1">
          <cell r="A1" t="str">
            <v>Obra:</v>
          </cell>
        </row>
        <row r="2">
          <cell r="A2" t="str">
            <v>Proprietário:</v>
          </cell>
        </row>
        <row r="3">
          <cell r="A3" t="str">
            <v>Local:</v>
          </cell>
        </row>
        <row r="4">
          <cell r="A4" t="str">
            <v>Data: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ÇÃO"/>
      <sheetName val="PLANILHA NÃO DESONERADO"/>
      <sheetName val="COMPOSIÇÕES"/>
      <sheetName val="COTAÇÕES"/>
      <sheetName val="CRONOGRAMA"/>
      <sheetName val="BDI NÃO DESONERADO"/>
    </sheetNames>
    <sheetDataSet>
      <sheetData sheetId="0"/>
      <sheetData sheetId="1">
        <row r="1">
          <cell r="A1" t="str">
            <v>Obra:</v>
          </cell>
        </row>
        <row r="2">
          <cell r="A2" t="str">
            <v>Proprietário:</v>
          </cell>
        </row>
        <row r="3">
          <cell r="A3" t="str">
            <v>Local:</v>
          </cell>
        </row>
        <row r="4">
          <cell r="A4" t="str">
            <v>Data: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93"/>
  <sheetViews>
    <sheetView view="pageLayout" zoomScaleNormal="100" workbookViewId="0">
      <selection activeCell="A24" sqref="A24"/>
    </sheetView>
  </sheetViews>
  <sheetFormatPr defaultColWidth="12.6640625" defaultRowHeight="15" customHeight="1" x14ac:dyDescent="0.3"/>
  <cols>
    <col min="1" max="1" width="10.83203125" customWidth="1"/>
    <col min="2" max="4" width="7.6640625" customWidth="1"/>
    <col min="5" max="5" width="46.1640625" customWidth="1"/>
    <col min="6" max="6" width="25.83203125" customWidth="1"/>
    <col min="7" max="26" width="7.6640625" customWidth="1"/>
  </cols>
  <sheetData>
    <row r="1" spans="1:7" ht="14" x14ac:dyDescent="0.3">
      <c r="A1" s="1" t="s">
        <v>0</v>
      </c>
      <c r="B1" s="316" t="str">
        <f>PLANILHA!B1</f>
        <v>Construção de rede de drenagem pluvial</v>
      </c>
      <c r="C1" s="317"/>
      <c r="D1" s="317"/>
      <c r="E1" s="317"/>
      <c r="F1" s="318"/>
    </row>
    <row r="2" spans="1:7" ht="14" x14ac:dyDescent="0.3">
      <c r="A2" s="2" t="s">
        <v>1</v>
      </c>
      <c r="B2" s="319" t="e">
        <f>#REF!</f>
        <v>#REF!</v>
      </c>
      <c r="C2" s="313"/>
      <c r="D2" s="313"/>
      <c r="E2" s="313"/>
      <c r="F2" s="320"/>
    </row>
    <row r="3" spans="1:7" ht="14" x14ac:dyDescent="0.3">
      <c r="A3" s="2" t="s">
        <v>2</v>
      </c>
      <c r="B3" s="319" t="str">
        <f>PLANILHA!B3</f>
        <v>Avenida Governador Jayme Campos</v>
      </c>
      <c r="C3" s="313"/>
      <c r="D3" s="313"/>
      <c r="E3" s="313"/>
      <c r="F3" s="320"/>
    </row>
    <row r="4" spans="1:7" ht="14.5" x14ac:dyDescent="0.35">
      <c r="A4" s="3" t="s">
        <v>3</v>
      </c>
      <c r="B4" s="321" t="str">
        <f>PLANILHA!B4</f>
        <v>30 de julho de 2021</v>
      </c>
      <c r="C4" s="322"/>
      <c r="D4" s="322"/>
      <c r="E4" s="322"/>
      <c r="F4" s="323"/>
      <c r="G4" s="4"/>
    </row>
    <row r="5" spans="1:7" ht="14" x14ac:dyDescent="0.3">
      <c r="A5" s="324" t="s">
        <v>4</v>
      </c>
      <c r="B5" s="304"/>
      <c r="C5" s="304"/>
      <c r="D5" s="304"/>
      <c r="E5" s="304"/>
      <c r="F5" s="325"/>
    </row>
    <row r="6" spans="1:7" ht="14" x14ac:dyDescent="0.3">
      <c r="A6" s="300"/>
      <c r="B6" s="301"/>
      <c r="C6" s="301"/>
      <c r="D6" s="301"/>
      <c r="E6" s="301"/>
      <c r="F6" s="302"/>
    </row>
    <row r="7" spans="1:7" ht="14" x14ac:dyDescent="0.3">
      <c r="A7" s="5" t="s">
        <v>5</v>
      </c>
      <c r="B7" s="303" t="s">
        <v>6</v>
      </c>
      <c r="C7" s="304"/>
      <c r="D7" s="304"/>
      <c r="E7" s="305"/>
      <c r="F7" s="6" t="s">
        <v>7</v>
      </c>
    </row>
    <row r="8" spans="1:7" ht="14" x14ac:dyDescent="0.3">
      <c r="A8" s="7" t="s">
        <v>8</v>
      </c>
      <c r="B8" s="309" t="str">
        <f>PLANILHA!D7</f>
        <v>SERVIÇOS PRELIMINARES</v>
      </c>
      <c r="C8" s="310"/>
      <c r="D8" s="310"/>
      <c r="E8" s="311"/>
      <c r="F8" s="8" t="e">
        <f>PLANILHA!I7</f>
        <v>#REF!</v>
      </c>
    </row>
    <row r="9" spans="1:7" ht="14" x14ac:dyDescent="0.3">
      <c r="A9" s="9" t="s">
        <v>9</v>
      </c>
      <c r="B9" s="312" t="str">
        <f>PLANILHA!D13</f>
        <v>MOVIMENTAÇÃO DE TERRA</v>
      </c>
      <c r="C9" s="313"/>
      <c r="D9" s="313"/>
      <c r="E9" s="314"/>
      <c r="F9" s="11">
        <f>PLANILHA!I13</f>
        <v>111628.34357606295</v>
      </c>
    </row>
    <row r="10" spans="1:7" ht="14" x14ac:dyDescent="0.3">
      <c r="A10" s="9" t="s">
        <v>10</v>
      </c>
      <c r="B10" s="315" t="str">
        <f>PLANILHA!D22</f>
        <v>REDE DE DRENAGEM</v>
      </c>
      <c r="C10" s="313"/>
      <c r="D10" s="313"/>
      <c r="E10" s="314"/>
      <c r="F10" s="11" t="e">
        <f>PLANILHA!I22</f>
        <v>#REF!</v>
      </c>
    </row>
    <row r="11" spans="1:7" ht="14.5" thickBot="1" x14ac:dyDescent="0.35">
      <c r="A11" s="9" t="s">
        <v>11</v>
      </c>
      <c r="B11" s="315" t="str">
        <f>PLANILHA!D39</f>
        <v>TRANSPORTE</v>
      </c>
      <c r="C11" s="313"/>
      <c r="D11" s="313"/>
      <c r="E11" s="314"/>
      <c r="F11" s="11">
        <f>PLANILHA!I39</f>
        <v>8585.1133804800011</v>
      </c>
    </row>
    <row r="12" spans="1:7" ht="14.5" thickBot="1" x14ac:dyDescent="0.35">
      <c r="A12" s="95"/>
      <c r="B12" s="306" t="s">
        <v>12</v>
      </c>
      <c r="C12" s="307"/>
      <c r="D12" s="307"/>
      <c r="E12" s="308"/>
      <c r="F12" s="97" t="e">
        <f>SUM(F8:F11)</f>
        <v>#REF!</v>
      </c>
    </row>
    <row r="13" spans="1:7" ht="15" customHeight="1" x14ac:dyDescent="0.3">
      <c r="A13" s="336" t="s">
        <v>137</v>
      </c>
      <c r="B13" s="328"/>
      <c r="C13" s="328"/>
      <c r="D13" s="328"/>
      <c r="E13" s="328" t="s">
        <v>138</v>
      </c>
      <c r="F13" s="332" t="s">
        <v>148</v>
      </c>
    </row>
    <row r="14" spans="1:7" ht="15.75" customHeight="1" x14ac:dyDescent="0.3">
      <c r="A14" s="337"/>
      <c r="B14" s="329"/>
      <c r="C14" s="329"/>
      <c r="D14" s="329"/>
      <c r="E14" s="329"/>
      <c r="F14" s="333"/>
    </row>
    <row r="15" spans="1:7" ht="15.75" customHeight="1" x14ac:dyDescent="0.3">
      <c r="A15" s="331"/>
      <c r="B15" s="330"/>
      <c r="C15" s="330"/>
      <c r="D15" s="330"/>
      <c r="E15" s="330"/>
      <c r="F15" s="334"/>
    </row>
    <row r="16" spans="1:7" ht="15.75" customHeight="1" x14ac:dyDescent="0.3">
      <c r="A16" s="331"/>
      <c r="B16" s="330"/>
      <c r="C16" s="330"/>
      <c r="D16" s="330"/>
      <c r="E16" s="330"/>
      <c r="F16" s="334"/>
    </row>
    <row r="17" spans="1:6" ht="15.75" customHeight="1" x14ac:dyDescent="0.3">
      <c r="A17" s="338" t="s">
        <v>13</v>
      </c>
      <c r="B17" s="339"/>
      <c r="C17" s="339"/>
      <c r="D17" s="339"/>
      <c r="E17" s="96" t="s">
        <v>140</v>
      </c>
      <c r="F17" s="334"/>
    </row>
    <row r="18" spans="1:6" ht="15.75" customHeight="1" thickBot="1" x14ac:dyDescent="0.35">
      <c r="A18" s="326" t="s">
        <v>14</v>
      </c>
      <c r="B18" s="327"/>
      <c r="C18" s="327"/>
      <c r="D18" s="327"/>
      <c r="E18" s="98" t="s">
        <v>139</v>
      </c>
      <c r="F18" s="335"/>
    </row>
    <row r="19" spans="1:6" ht="15.75" customHeight="1" x14ac:dyDescent="0.3"/>
    <row r="20" spans="1:6" ht="15.75" customHeight="1" x14ac:dyDescent="0.3"/>
    <row r="21" spans="1:6" ht="15.75" customHeight="1" x14ac:dyDescent="0.3"/>
    <row r="22" spans="1:6" ht="15.75" customHeight="1" x14ac:dyDescent="0.3"/>
    <row r="23" spans="1:6" ht="15.75" customHeight="1" x14ac:dyDescent="0.3"/>
    <row r="24" spans="1:6" ht="15.75" customHeight="1" x14ac:dyDescent="0.3"/>
    <row r="25" spans="1:6" ht="15.75" customHeight="1" x14ac:dyDescent="0.3"/>
    <row r="26" spans="1:6" ht="15.75" customHeight="1" x14ac:dyDescent="0.3"/>
    <row r="27" spans="1:6" ht="15.75" customHeight="1" x14ac:dyDescent="0.3"/>
    <row r="28" spans="1:6" ht="15.75" customHeight="1" x14ac:dyDescent="0.3"/>
    <row r="29" spans="1:6" ht="15.75" customHeight="1" x14ac:dyDescent="0.3"/>
    <row r="30" spans="1:6" ht="15.75" customHeight="1" x14ac:dyDescent="0.3"/>
    <row r="31" spans="1:6" ht="15.75" customHeight="1" x14ac:dyDescent="0.3"/>
    <row r="32" spans="1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mergeCells count="20">
    <mergeCell ref="A18:D18"/>
    <mergeCell ref="E13:E14"/>
    <mergeCell ref="E15:E16"/>
    <mergeCell ref="A15:D16"/>
    <mergeCell ref="F13:F14"/>
    <mergeCell ref="F15:F18"/>
    <mergeCell ref="A13:D14"/>
    <mergeCell ref="A17:D17"/>
    <mergeCell ref="B1:F1"/>
    <mergeCell ref="B2:F2"/>
    <mergeCell ref="B3:F3"/>
    <mergeCell ref="B4:F4"/>
    <mergeCell ref="A5:F5"/>
    <mergeCell ref="A6:F6"/>
    <mergeCell ref="B7:E7"/>
    <mergeCell ref="B12:E12"/>
    <mergeCell ref="B8:E8"/>
    <mergeCell ref="B9:E9"/>
    <mergeCell ref="B10:E10"/>
    <mergeCell ref="B11:E11"/>
  </mergeCells>
  <pageMargins left="0.7" right="0.7" top="1.1721874999999999" bottom="0.89583333333333337" header="0" footer="0"/>
  <pageSetup paperSize="9" orientation="landscape" r:id="rId1"/>
  <headerFooter>
    <oddFooter>&amp;CRua Rui Barbosa, 310 - Centro - Araputanga-MT – Cel: (65) 99613-9294 E-mail: carolina.o.almeida@hotmail.com / escalaprojeta@gmail.com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998"/>
  <sheetViews>
    <sheetView workbookViewId="0">
      <selection activeCell="D18" sqref="D18"/>
    </sheetView>
  </sheetViews>
  <sheetFormatPr defaultColWidth="12.6640625" defaultRowHeight="15" customHeight="1" x14ac:dyDescent="0.3"/>
  <cols>
    <col min="1" max="1" width="11.83203125" customWidth="1"/>
    <col min="2" max="2" width="16.75" customWidth="1"/>
    <col min="3" max="3" width="14.6640625" customWidth="1"/>
    <col min="4" max="4" width="12.5" customWidth="1"/>
    <col min="5" max="5" width="16.5" customWidth="1"/>
    <col min="6" max="7" width="15.83203125" customWidth="1"/>
    <col min="8" max="8" width="11.6640625" customWidth="1"/>
    <col min="9" max="9" width="15.5" customWidth="1"/>
    <col min="10" max="10" width="12.1640625" customWidth="1"/>
    <col min="11" max="11" width="13.83203125" customWidth="1"/>
    <col min="12" max="12" width="15.83203125" customWidth="1"/>
    <col min="13" max="24" width="7.6640625" customWidth="1"/>
  </cols>
  <sheetData>
    <row r="1" spans="1:12" ht="14" x14ac:dyDescent="0.3">
      <c r="A1" s="56" t="s">
        <v>0</v>
      </c>
      <c r="B1" s="604" t="str">
        <f>PLANILHA!B1</f>
        <v>Construção de rede de drenagem pluvial</v>
      </c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2" ht="14" x14ac:dyDescent="0.3">
      <c r="A2" s="56" t="s">
        <v>1</v>
      </c>
      <c r="B2" s="604" t="str">
        <f>PLANILHA!B2</f>
        <v>Prefeitura Municipal de Indiavaí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</row>
    <row r="3" spans="1:12" ht="14" x14ac:dyDescent="0.3">
      <c r="A3" s="56" t="s">
        <v>2</v>
      </c>
      <c r="B3" s="604" t="str">
        <f>PLANILHA!B3</f>
        <v>Avenida Governador Jayme Campos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</row>
    <row r="4" spans="1:12" ht="14.5" thickBot="1" x14ac:dyDescent="0.35">
      <c r="A4" s="57" t="s">
        <v>3</v>
      </c>
      <c r="B4" s="605" t="str">
        <f>DESCRIÇÃO!B4</f>
        <v>30 de julho de 2021</v>
      </c>
      <c r="C4" s="606"/>
      <c r="D4" s="606"/>
      <c r="E4" s="606"/>
      <c r="F4" s="606"/>
      <c r="G4" s="606"/>
      <c r="H4" s="606"/>
      <c r="I4" s="606"/>
      <c r="J4" s="606"/>
      <c r="K4" s="606"/>
      <c r="L4" s="606"/>
    </row>
    <row r="5" spans="1:12" ht="14" x14ac:dyDescent="0.3">
      <c r="A5" s="618" t="s">
        <v>198</v>
      </c>
      <c r="B5" s="619"/>
      <c r="C5" s="619"/>
      <c r="D5" s="619"/>
      <c r="E5" s="619"/>
      <c r="F5" s="619"/>
      <c r="G5" s="619"/>
      <c r="H5" s="619"/>
      <c r="I5" s="619"/>
      <c r="J5" s="619"/>
      <c r="K5" s="619"/>
      <c r="L5" s="620"/>
    </row>
    <row r="6" spans="1:12" ht="15" customHeight="1" x14ac:dyDescent="0.3">
      <c r="A6" s="613" t="s">
        <v>149</v>
      </c>
      <c r="B6" s="613" t="s">
        <v>215</v>
      </c>
      <c r="C6" s="613" t="s">
        <v>153</v>
      </c>
      <c r="D6" s="611" t="s">
        <v>152</v>
      </c>
      <c r="E6" s="611" t="s">
        <v>155</v>
      </c>
      <c r="F6" s="611" t="s">
        <v>156</v>
      </c>
      <c r="G6" s="611" t="s">
        <v>161</v>
      </c>
      <c r="H6" s="611" t="s">
        <v>154</v>
      </c>
      <c r="I6" s="611" t="s">
        <v>157</v>
      </c>
      <c r="J6" s="611" t="s">
        <v>158</v>
      </c>
      <c r="K6" s="611" t="s">
        <v>159</v>
      </c>
      <c r="L6" s="611" t="s">
        <v>160</v>
      </c>
    </row>
    <row r="7" spans="1:12" ht="14" x14ac:dyDescent="0.3">
      <c r="A7" s="616"/>
      <c r="B7" s="616"/>
      <c r="C7" s="613"/>
      <c r="D7" s="611"/>
      <c r="E7" s="611"/>
      <c r="F7" s="611"/>
      <c r="G7" s="611"/>
      <c r="H7" s="611"/>
      <c r="I7" s="611"/>
      <c r="J7" s="611"/>
      <c r="K7" s="611"/>
      <c r="L7" s="611"/>
    </row>
    <row r="8" spans="1:12" ht="36.75" customHeight="1" x14ac:dyDescent="0.3">
      <c r="A8" s="616"/>
      <c r="B8" s="616"/>
      <c r="C8" s="613"/>
      <c r="D8" s="611"/>
      <c r="E8" s="611"/>
      <c r="F8" s="611"/>
      <c r="G8" s="611"/>
      <c r="H8" s="611"/>
      <c r="I8" s="611"/>
      <c r="J8" s="611"/>
      <c r="K8" s="611"/>
      <c r="L8" s="611"/>
    </row>
    <row r="9" spans="1:12" ht="14" x14ac:dyDescent="0.3">
      <c r="A9" s="101" t="s">
        <v>150</v>
      </c>
      <c r="B9" s="102">
        <v>0.6</v>
      </c>
      <c r="C9" s="102">
        <v>88</v>
      </c>
      <c r="D9" s="102">
        <v>1</v>
      </c>
      <c r="E9" s="102">
        <v>1.8</v>
      </c>
      <c r="F9" s="102">
        <v>1.96</v>
      </c>
      <c r="G9" s="102">
        <v>0.06</v>
      </c>
      <c r="H9" s="102">
        <f>0.1</f>
        <v>0.1</v>
      </c>
      <c r="I9" s="102">
        <f>(C9*D9)*H9</f>
        <v>8.8000000000000007</v>
      </c>
      <c r="J9" s="102">
        <f>(C9*D9)*((E9+F9)/2)</f>
        <v>165.44</v>
      </c>
      <c r="K9" s="102">
        <f>(C9*D9)*((E9+F9)/2)-(((PI()*(((B9+(G9*2))/2)^2))*C9)+(H9*C9*D9))</f>
        <v>120.81076410433913</v>
      </c>
      <c r="L9" s="102">
        <f>C9*((E9+F9)/2)</f>
        <v>165.44</v>
      </c>
    </row>
    <row r="10" spans="1:12" ht="14" x14ac:dyDescent="0.3">
      <c r="A10" s="101" t="s">
        <v>162</v>
      </c>
      <c r="B10" s="102">
        <v>0.6</v>
      </c>
      <c r="C10" s="102">
        <v>110</v>
      </c>
      <c r="D10" s="102">
        <v>1</v>
      </c>
      <c r="E10" s="102">
        <v>1.96</v>
      </c>
      <c r="F10" s="102">
        <v>2.2000000000000002</v>
      </c>
      <c r="G10" s="102">
        <v>0.06</v>
      </c>
      <c r="H10" s="102">
        <f t="shared" ref="H10:H18" si="0">0.1</f>
        <v>0.1</v>
      </c>
      <c r="I10" s="102">
        <f t="shared" ref="I10:I17" si="1">(C10*D10)*H10</f>
        <v>11</v>
      </c>
      <c r="J10" s="102">
        <f t="shared" ref="J10:J17" si="2">(C10*D10)*((E10+F10)/2)</f>
        <v>228.8</v>
      </c>
      <c r="K10" s="102">
        <f t="shared" ref="K10:K17" si="3">(C10*D10)*((E10+F10)/2)-(((PI()*(((B10+(G10*2))/2)^2))*C10)+(H10*C10*D10))</f>
        <v>173.01345513042392</v>
      </c>
      <c r="L10" s="102">
        <f t="shared" ref="L10:L17" si="4">C10*((E10+F10)/2)</f>
        <v>228.8</v>
      </c>
    </row>
    <row r="11" spans="1:12" ht="14" x14ac:dyDescent="0.3">
      <c r="A11" s="101" t="s">
        <v>163</v>
      </c>
      <c r="B11" s="102">
        <v>0.8</v>
      </c>
      <c r="C11" s="102">
        <v>110</v>
      </c>
      <c r="D11" s="102">
        <v>1.3</v>
      </c>
      <c r="E11" s="102">
        <v>2.2000000000000002</v>
      </c>
      <c r="F11" s="102">
        <v>4.18</v>
      </c>
      <c r="G11" s="102">
        <v>7.0000000000000007E-2</v>
      </c>
      <c r="H11" s="102">
        <f t="shared" si="0"/>
        <v>0.1</v>
      </c>
      <c r="I11" s="102">
        <f t="shared" si="1"/>
        <v>14.3</v>
      </c>
      <c r="J11" s="102">
        <f t="shared" si="2"/>
        <v>456.17</v>
      </c>
      <c r="K11" s="102">
        <f t="shared" si="3"/>
        <v>365.53244011042159</v>
      </c>
      <c r="L11" s="102">
        <f t="shared" si="4"/>
        <v>350.9</v>
      </c>
    </row>
    <row r="12" spans="1:12" ht="14" x14ac:dyDescent="0.3">
      <c r="A12" s="101" t="s">
        <v>164</v>
      </c>
      <c r="B12" s="102">
        <v>0.8</v>
      </c>
      <c r="C12" s="102">
        <v>110</v>
      </c>
      <c r="D12" s="102">
        <v>1.3</v>
      </c>
      <c r="E12" s="102">
        <v>4.18</v>
      </c>
      <c r="F12" s="102">
        <v>2.91</v>
      </c>
      <c r="G12" s="102">
        <v>7.0000000000000007E-2</v>
      </c>
      <c r="H12" s="102">
        <f t="shared" si="0"/>
        <v>0.1</v>
      </c>
      <c r="I12" s="102">
        <f t="shared" si="1"/>
        <v>14.3</v>
      </c>
      <c r="J12" s="102">
        <f t="shared" si="2"/>
        <v>506.935</v>
      </c>
      <c r="K12" s="102">
        <f t="shared" si="3"/>
        <v>416.29744011042158</v>
      </c>
      <c r="L12" s="102">
        <f t="shared" si="4"/>
        <v>389.95</v>
      </c>
    </row>
    <row r="13" spans="1:12" ht="14" x14ac:dyDescent="0.3">
      <c r="A13" s="101" t="s">
        <v>165</v>
      </c>
      <c r="B13" s="102">
        <v>0.8</v>
      </c>
      <c r="C13" s="102">
        <v>110</v>
      </c>
      <c r="D13" s="102">
        <v>1.3</v>
      </c>
      <c r="E13" s="102">
        <v>2.91</v>
      </c>
      <c r="F13" s="102">
        <v>2.2999999999999998</v>
      </c>
      <c r="G13" s="102">
        <v>7.0000000000000007E-2</v>
      </c>
      <c r="H13" s="102">
        <f t="shared" si="0"/>
        <v>0.1</v>
      </c>
      <c r="I13" s="102">
        <f t="shared" si="1"/>
        <v>14.3</v>
      </c>
      <c r="J13" s="102">
        <f t="shared" si="2"/>
        <v>372.51499999999999</v>
      </c>
      <c r="K13" s="102">
        <f t="shared" si="3"/>
        <v>281.87744011042162</v>
      </c>
      <c r="L13" s="102">
        <f t="shared" si="4"/>
        <v>286.55</v>
      </c>
    </row>
    <row r="14" spans="1:12" ht="14" x14ac:dyDescent="0.3">
      <c r="A14" s="101" t="s">
        <v>166</v>
      </c>
      <c r="B14" s="102">
        <v>0.8</v>
      </c>
      <c r="C14" s="102">
        <v>110</v>
      </c>
      <c r="D14" s="102">
        <v>1.3</v>
      </c>
      <c r="E14" s="102">
        <v>2.2999999999999998</v>
      </c>
      <c r="F14" s="102">
        <v>2.2999999999999998</v>
      </c>
      <c r="G14" s="102">
        <v>7.0000000000000007E-2</v>
      </c>
      <c r="H14" s="102">
        <f t="shared" si="0"/>
        <v>0.1</v>
      </c>
      <c r="I14" s="102">
        <f t="shared" si="1"/>
        <v>14.3</v>
      </c>
      <c r="J14" s="102">
        <f t="shared" si="2"/>
        <v>328.9</v>
      </c>
      <c r="K14" s="102">
        <f t="shared" si="3"/>
        <v>238.26244011042158</v>
      </c>
      <c r="L14" s="102">
        <f t="shared" si="4"/>
        <v>252.99999999999997</v>
      </c>
    </row>
    <row r="15" spans="1:12" ht="14" x14ac:dyDescent="0.3">
      <c r="A15" s="101" t="s">
        <v>167</v>
      </c>
      <c r="B15" s="102">
        <v>0.8</v>
      </c>
      <c r="C15" s="102">
        <v>78</v>
      </c>
      <c r="D15" s="102">
        <v>1.3</v>
      </c>
      <c r="E15" s="102">
        <v>2.2999999999999998</v>
      </c>
      <c r="F15" s="102">
        <v>2.33</v>
      </c>
      <c r="G15" s="102">
        <v>7.0000000000000007E-2</v>
      </c>
      <c r="H15" s="102">
        <f t="shared" si="0"/>
        <v>0.1</v>
      </c>
      <c r="I15" s="102">
        <f t="shared" si="1"/>
        <v>10.14</v>
      </c>
      <c r="J15" s="102">
        <f t="shared" si="2"/>
        <v>234.74100000000001</v>
      </c>
      <c r="K15" s="102">
        <f t="shared" si="3"/>
        <v>170.47073026011714</v>
      </c>
      <c r="L15" s="102">
        <f t="shared" si="4"/>
        <v>180.57</v>
      </c>
    </row>
    <row r="16" spans="1:12" ht="14" x14ac:dyDescent="0.3">
      <c r="A16" s="101" t="s">
        <v>168</v>
      </c>
      <c r="B16" s="102">
        <v>0.8</v>
      </c>
      <c r="C16" s="102">
        <v>89</v>
      </c>
      <c r="D16" s="102">
        <v>1.3</v>
      </c>
      <c r="E16" s="102">
        <v>2.33</v>
      </c>
      <c r="F16" s="102">
        <v>2.2999999999999998</v>
      </c>
      <c r="G16" s="102">
        <v>7.0000000000000007E-2</v>
      </c>
      <c r="H16" s="102">
        <f t="shared" si="0"/>
        <v>0.1</v>
      </c>
      <c r="I16" s="102">
        <f t="shared" si="1"/>
        <v>11.57</v>
      </c>
      <c r="J16" s="102">
        <f t="shared" si="2"/>
        <v>267.84550000000002</v>
      </c>
      <c r="K16" s="102">
        <f t="shared" si="3"/>
        <v>194.5114742711593</v>
      </c>
      <c r="L16" s="102">
        <f t="shared" si="4"/>
        <v>206.035</v>
      </c>
    </row>
    <row r="17" spans="1:12" ht="14" x14ac:dyDescent="0.3">
      <c r="A17" s="101" t="s">
        <v>169</v>
      </c>
      <c r="B17" s="102">
        <v>0.8</v>
      </c>
      <c r="C17" s="102">
        <v>23</v>
      </c>
      <c r="D17" s="102">
        <v>1.3</v>
      </c>
      <c r="E17" s="102">
        <v>2.2999999999999998</v>
      </c>
      <c r="F17" s="102">
        <v>2.2999999999999998</v>
      </c>
      <c r="G17" s="102">
        <v>7.0000000000000007E-2</v>
      </c>
      <c r="H17" s="102">
        <f t="shared" si="0"/>
        <v>0.1</v>
      </c>
      <c r="I17" s="102">
        <f t="shared" si="1"/>
        <v>2.99</v>
      </c>
      <c r="J17" s="102">
        <f t="shared" si="2"/>
        <v>68.77</v>
      </c>
      <c r="K17" s="102">
        <f t="shared" si="3"/>
        <v>49.818510204906332</v>
      </c>
      <c r="L17" s="102">
        <f t="shared" si="4"/>
        <v>52.9</v>
      </c>
    </row>
    <row r="18" spans="1:12" ht="14.5" thickBot="1" x14ac:dyDescent="0.35">
      <c r="A18" s="101" t="s">
        <v>216</v>
      </c>
      <c r="B18" s="102">
        <v>1</v>
      </c>
      <c r="C18" s="102">
        <v>79</v>
      </c>
      <c r="D18" s="102">
        <v>1.5</v>
      </c>
      <c r="E18" s="102">
        <v>2.2999999999999998</v>
      </c>
      <c r="F18" s="102">
        <v>2.2999999999999998</v>
      </c>
      <c r="G18" s="102">
        <v>0.1</v>
      </c>
      <c r="H18" s="102">
        <f t="shared" si="0"/>
        <v>0.1</v>
      </c>
      <c r="I18" s="102">
        <f>(C18*D18)*H18</f>
        <v>11.850000000000001</v>
      </c>
      <c r="J18" s="102">
        <f>(C18*D18)*((E18+F18)/2)</f>
        <v>272.54999999999995</v>
      </c>
      <c r="K18" s="102">
        <f>(C18*D18)*((E18+F18)/2)-(((PI()*(((B18+(G18*2))/2)^2))*C18)+(H18*C18*D18))</f>
        <v>171.35310493190624</v>
      </c>
      <c r="L18" s="102">
        <f>C18*((E18+F18)/2)</f>
        <v>181.7</v>
      </c>
    </row>
    <row r="19" spans="1:12" ht="15.75" customHeight="1" thickBot="1" x14ac:dyDescent="0.35">
      <c r="A19" s="617" t="s">
        <v>170</v>
      </c>
      <c r="B19" s="381"/>
      <c r="C19" s="381"/>
      <c r="D19" s="381"/>
      <c r="E19" s="381"/>
      <c r="F19" s="381"/>
      <c r="G19" s="381"/>
      <c r="H19" s="601"/>
      <c r="I19" s="99">
        <f>SUM(I9:I17)</f>
        <v>101.7</v>
      </c>
      <c r="J19" s="99">
        <f>SUM(J9:J17)</f>
        <v>2630.1165000000001</v>
      </c>
      <c r="K19" s="99">
        <f>SUM(K9:K17)</f>
        <v>2010.594694412632</v>
      </c>
      <c r="L19" s="99">
        <f>SUM(L9:L17)</f>
        <v>2114.145</v>
      </c>
    </row>
    <row r="20" spans="1:12" ht="15.75" customHeight="1" x14ac:dyDescent="0.3">
      <c r="A20" s="388" t="s">
        <v>137</v>
      </c>
      <c r="B20" s="413"/>
      <c r="C20" s="413"/>
      <c r="D20" s="388" t="s">
        <v>138</v>
      </c>
      <c r="E20" s="413"/>
      <c r="F20" s="389"/>
      <c r="G20" s="492" t="s">
        <v>142</v>
      </c>
      <c r="H20" s="493"/>
      <c r="I20" s="493"/>
      <c r="J20" s="493"/>
      <c r="K20" s="493"/>
      <c r="L20" s="494"/>
    </row>
    <row r="21" spans="1:12" ht="15.75" customHeight="1" thickBot="1" x14ac:dyDescent="0.35">
      <c r="A21" s="390"/>
      <c r="B21" s="414"/>
      <c r="C21" s="414"/>
      <c r="D21" s="390"/>
      <c r="E21" s="414"/>
      <c r="F21" s="391"/>
      <c r="G21" s="495"/>
      <c r="H21" s="496"/>
      <c r="I21" s="496"/>
      <c r="J21" s="496"/>
      <c r="K21" s="496"/>
      <c r="L21" s="497"/>
    </row>
    <row r="22" spans="1:12" ht="15.75" customHeight="1" x14ac:dyDescent="0.3">
      <c r="A22" s="462"/>
      <c r="B22" s="463"/>
      <c r="C22" s="463"/>
      <c r="D22" s="462"/>
      <c r="E22" s="463"/>
      <c r="F22" s="464"/>
      <c r="G22" s="498"/>
      <c r="H22" s="499"/>
      <c r="I22" s="499"/>
      <c r="J22" s="499"/>
      <c r="K22" s="499"/>
      <c r="L22" s="500"/>
    </row>
    <row r="23" spans="1:12" ht="15.75" customHeight="1" x14ac:dyDescent="0.3">
      <c r="A23" s="356"/>
      <c r="B23" s="357"/>
      <c r="C23" s="357"/>
      <c r="D23" s="356"/>
      <c r="E23" s="357"/>
      <c r="F23" s="465"/>
      <c r="G23" s="501"/>
      <c r="H23" s="502"/>
      <c r="I23" s="502"/>
      <c r="J23" s="502"/>
      <c r="K23" s="502"/>
      <c r="L23" s="503"/>
    </row>
    <row r="24" spans="1:12" ht="15.75" customHeight="1" x14ac:dyDescent="0.3">
      <c r="A24" s="418" t="s">
        <v>13</v>
      </c>
      <c r="B24" s="419"/>
      <c r="C24" s="419"/>
      <c r="D24" s="483" t="s">
        <v>140</v>
      </c>
      <c r="E24" s="484"/>
      <c r="F24" s="485"/>
      <c r="G24" s="486"/>
      <c r="H24" s="487"/>
      <c r="I24" s="487"/>
      <c r="J24" s="487"/>
      <c r="K24" s="487"/>
      <c r="L24" s="488"/>
    </row>
    <row r="25" spans="1:12" ht="15.75" customHeight="1" thickBot="1" x14ac:dyDescent="0.35">
      <c r="A25" s="400" t="s">
        <v>14</v>
      </c>
      <c r="B25" s="401"/>
      <c r="C25" s="401"/>
      <c r="D25" s="390" t="s">
        <v>139</v>
      </c>
      <c r="E25" s="414"/>
      <c r="F25" s="391"/>
      <c r="G25" s="489"/>
      <c r="H25" s="490"/>
      <c r="I25" s="490"/>
      <c r="J25" s="490"/>
      <c r="K25" s="490"/>
      <c r="L25" s="491"/>
    </row>
    <row r="26" spans="1:12" ht="15.75" customHeight="1" x14ac:dyDescent="0.3">
      <c r="E26" s="12"/>
    </row>
    <row r="27" spans="1:12" ht="15.75" customHeight="1" x14ac:dyDescent="0.3"/>
    <row r="28" spans="1:12" ht="15.75" customHeight="1" x14ac:dyDescent="0.3"/>
    <row r="29" spans="1:12" ht="15.75" customHeight="1" x14ac:dyDescent="0.3"/>
    <row r="30" spans="1:12" ht="15.75" customHeight="1" x14ac:dyDescent="0.3"/>
    <row r="31" spans="1:12" ht="15.75" customHeight="1" x14ac:dyDescent="0.3"/>
    <row r="32" spans="1:1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31">
    <mergeCell ref="F6:F8"/>
    <mergeCell ref="G6:G8"/>
    <mergeCell ref="H6:H8"/>
    <mergeCell ref="I6:I8"/>
    <mergeCell ref="J6:J8"/>
    <mergeCell ref="A6:A8"/>
    <mergeCell ref="B6:B8"/>
    <mergeCell ref="C6:C8"/>
    <mergeCell ref="D6:D8"/>
    <mergeCell ref="E6:E8"/>
    <mergeCell ref="B1:L1"/>
    <mergeCell ref="B2:L2"/>
    <mergeCell ref="B3:L3"/>
    <mergeCell ref="B4:L4"/>
    <mergeCell ref="A5:L5"/>
    <mergeCell ref="L6:L8"/>
    <mergeCell ref="A25:C25"/>
    <mergeCell ref="D25:F25"/>
    <mergeCell ref="G25:L25"/>
    <mergeCell ref="A19:H19"/>
    <mergeCell ref="A20:C21"/>
    <mergeCell ref="D20:F21"/>
    <mergeCell ref="G20:L21"/>
    <mergeCell ref="A24:C24"/>
    <mergeCell ref="D24:F24"/>
    <mergeCell ref="G24:L24"/>
    <mergeCell ref="A22:C23"/>
    <mergeCell ref="D22:F23"/>
    <mergeCell ref="G22:L22"/>
    <mergeCell ref="G23:L23"/>
    <mergeCell ref="K6:K8"/>
  </mergeCells>
  <pageMargins left="0.511811024" right="0.511811024" top="1.0237499999999999" bottom="0.92531249999999998" header="0" footer="0"/>
  <pageSetup paperSize="9" scale="71" fitToHeight="0" orientation="landscape" r:id="rId1"/>
  <headerFooter>
    <oddFooter>&amp;CRua Rui Barbosa, 310 - Centro - Araputanga-MT – Cel: (65) 99613-9294 E-mail: carolina.o.almeida@hotmail.com / escalaprojeta@gmail.com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3"/>
  <sheetViews>
    <sheetView zoomScaleNormal="100" zoomScaleSheetLayoutView="100" workbookViewId="0">
      <selection activeCell="H29" sqref="H29:M30"/>
    </sheetView>
  </sheetViews>
  <sheetFormatPr defaultRowHeight="14" x14ac:dyDescent="0.3"/>
  <cols>
    <col min="1" max="1" width="11.83203125" customWidth="1"/>
    <col min="2" max="3" width="16.75" customWidth="1"/>
    <col min="4" max="4" width="14.1640625" customWidth="1"/>
    <col min="5" max="5" width="11.1640625" customWidth="1"/>
    <col min="6" max="6" width="9.75" customWidth="1"/>
    <col min="7" max="7" width="14" customWidth="1"/>
    <col min="8" max="9" width="12.25" customWidth="1"/>
    <col min="10" max="10" width="14.1640625" customWidth="1"/>
    <col min="11" max="11" width="14.33203125" customWidth="1"/>
    <col min="12" max="12" width="15" customWidth="1"/>
    <col min="13" max="13" width="14.1640625" customWidth="1"/>
  </cols>
  <sheetData>
    <row r="1" spans="1:13" x14ac:dyDescent="0.3">
      <c r="A1" s="175" t="s">
        <v>0</v>
      </c>
      <c r="B1" s="632" t="str">
        <f>PLANILHA!B1</f>
        <v>Construção de rede de drenagem pluvial</v>
      </c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</row>
    <row r="2" spans="1:13" x14ac:dyDescent="0.3">
      <c r="A2" s="175" t="s">
        <v>1</v>
      </c>
      <c r="B2" s="632" t="str">
        <f>PLANILHA!B2</f>
        <v>Prefeitura Municipal de Indiavaí</v>
      </c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</row>
    <row r="3" spans="1:13" x14ac:dyDescent="0.3">
      <c r="A3" s="175" t="s">
        <v>2</v>
      </c>
      <c r="B3" s="632" t="str">
        <f>PLANILHA!B3</f>
        <v>Avenida Governador Jayme Campos</v>
      </c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</row>
    <row r="4" spans="1:13" ht="14.5" thickBot="1" x14ac:dyDescent="0.35">
      <c r="A4" s="178" t="s">
        <v>3</v>
      </c>
      <c r="B4" s="633" t="str">
        <f>DESCRIÇÃO!B4</f>
        <v>30 de julho de 2021</v>
      </c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</row>
    <row r="5" spans="1:13" ht="14.5" thickBot="1" x14ac:dyDescent="0.35">
      <c r="A5" s="607" t="s">
        <v>267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9"/>
    </row>
    <row r="6" spans="1:13" ht="15" customHeight="1" x14ac:dyDescent="0.3">
      <c r="A6" s="614" t="s">
        <v>149</v>
      </c>
      <c r="B6" s="634" t="s">
        <v>239</v>
      </c>
      <c r="C6" s="635" t="s">
        <v>153</v>
      </c>
      <c r="D6" s="610" t="s">
        <v>236</v>
      </c>
      <c r="E6" s="610" t="s">
        <v>237</v>
      </c>
      <c r="F6" s="610" t="s">
        <v>238</v>
      </c>
      <c r="G6" s="610" t="s">
        <v>255</v>
      </c>
      <c r="H6" s="610" t="s">
        <v>256</v>
      </c>
      <c r="I6" s="610" t="s">
        <v>261</v>
      </c>
      <c r="J6" s="610" t="s">
        <v>262</v>
      </c>
      <c r="K6" s="610" t="s">
        <v>263</v>
      </c>
      <c r="L6" s="602" t="s">
        <v>264</v>
      </c>
      <c r="M6" s="602" t="s">
        <v>265</v>
      </c>
    </row>
    <row r="7" spans="1:13" ht="15" customHeight="1" x14ac:dyDescent="0.3">
      <c r="A7" s="615"/>
      <c r="B7" s="634"/>
      <c r="C7" s="635"/>
      <c r="D7" s="611"/>
      <c r="E7" s="611"/>
      <c r="F7" s="611"/>
      <c r="G7" s="611"/>
      <c r="H7" s="611"/>
      <c r="I7" s="611"/>
      <c r="J7" s="611"/>
      <c r="K7" s="611"/>
      <c r="L7" s="603"/>
      <c r="M7" s="603"/>
    </row>
    <row r="8" spans="1:13" ht="34.5" customHeight="1" x14ac:dyDescent="0.3">
      <c r="A8" s="615"/>
      <c r="B8" s="610"/>
      <c r="C8" s="612"/>
      <c r="D8" s="611"/>
      <c r="E8" s="611"/>
      <c r="F8" s="611"/>
      <c r="G8" s="611"/>
      <c r="H8" s="611"/>
      <c r="I8" s="611"/>
      <c r="J8" s="611"/>
      <c r="K8" s="611"/>
      <c r="L8" s="603"/>
      <c r="M8" s="603"/>
    </row>
    <row r="9" spans="1:13" x14ac:dyDescent="0.3">
      <c r="A9" s="104" t="s">
        <v>150</v>
      </c>
      <c r="B9" s="102">
        <v>0.25540000000000002</v>
      </c>
      <c r="C9" s="102">
        <v>88</v>
      </c>
      <c r="D9" s="102">
        <v>200.82</v>
      </c>
      <c r="E9" s="102">
        <v>199</v>
      </c>
      <c r="F9" s="161">
        <f t="shared" ref="F9:F18" si="0">(D9-E9)/C9</f>
        <v>2.0681818181818103E-2</v>
      </c>
      <c r="G9" s="162">
        <f t="shared" ref="G9:G18" si="1">(B9*0.01*$C$21*$C$22)/3.6</f>
        <v>4.4517638888888898E-2</v>
      </c>
      <c r="H9" s="162">
        <f>(B9*0.01*C22*C21)/3.6</f>
        <v>4.4517638888888898E-2</v>
      </c>
      <c r="I9" s="102">
        <f>1.55*((($C$23*H9)/(F9^(1/2)))^(3/8))</f>
        <v>0.19592376457067986</v>
      </c>
      <c r="J9" s="102">
        <v>0.6</v>
      </c>
      <c r="K9" s="161" t="str">
        <f>IF('CAL VERIFICAÇÕES'!Q9="OK","OK","NÃO OK")</f>
        <v>OK</v>
      </c>
      <c r="L9" s="105" t="s">
        <v>266</v>
      </c>
      <c r="M9" s="163" t="s">
        <v>266</v>
      </c>
    </row>
    <row r="10" spans="1:13" x14ac:dyDescent="0.3">
      <c r="A10" s="104" t="s">
        <v>162</v>
      </c>
      <c r="B10" s="102">
        <v>1.2270000000000001</v>
      </c>
      <c r="C10" s="102">
        <v>110</v>
      </c>
      <c r="D10" s="102">
        <v>199</v>
      </c>
      <c r="E10" s="102">
        <v>196.56</v>
      </c>
      <c r="F10" s="161">
        <f t="shared" si="0"/>
        <v>2.218181818181816E-2</v>
      </c>
      <c r="G10" s="162">
        <f t="shared" si="1"/>
        <v>0.21387291666666669</v>
      </c>
      <c r="H10" s="162">
        <f t="shared" ref="H10:H18" si="2">G10+H9</f>
        <v>0.25839055555555557</v>
      </c>
      <c r="I10" s="102">
        <f t="shared" ref="I10:I18" si="3">1.55*((($C$23*H10)/(F10^(1/2)))^(3/8))</f>
        <v>0.37392950076434761</v>
      </c>
      <c r="J10" s="102">
        <v>0.6</v>
      </c>
      <c r="K10" s="161" t="str">
        <f>IF('CAL VERIFICAÇÕES'!Q10="OK","OK","NÃO OK")</f>
        <v>OK</v>
      </c>
      <c r="L10" s="105" t="s">
        <v>266</v>
      </c>
      <c r="M10" s="163" t="s">
        <v>266</v>
      </c>
    </row>
    <row r="11" spans="1:13" x14ac:dyDescent="0.3">
      <c r="A11" s="104" t="s">
        <v>163</v>
      </c>
      <c r="B11" s="102">
        <v>1.2365999999999999</v>
      </c>
      <c r="C11" s="102">
        <v>110</v>
      </c>
      <c r="D11" s="102">
        <v>196.56</v>
      </c>
      <c r="E11" s="102">
        <v>196.01</v>
      </c>
      <c r="F11" s="161">
        <f t="shared" si="0"/>
        <v>5.0000000000001033E-3</v>
      </c>
      <c r="G11" s="162">
        <f t="shared" si="1"/>
        <v>0.21554624999999999</v>
      </c>
      <c r="H11" s="162">
        <f t="shared" si="2"/>
        <v>0.47393680555555556</v>
      </c>
      <c r="I11" s="102">
        <f t="shared" si="3"/>
        <v>0.62072429419594521</v>
      </c>
      <c r="J11" s="102">
        <v>0.8</v>
      </c>
      <c r="K11" s="161" t="str">
        <f>IF('CAL VERIFICAÇÕES'!Q11="OK","OK","NÃO OK")</f>
        <v>OK</v>
      </c>
      <c r="L11" s="105" t="s">
        <v>266</v>
      </c>
      <c r="M11" s="163" t="s">
        <v>266</v>
      </c>
    </row>
    <row r="12" spans="1:13" x14ac:dyDescent="0.3">
      <c r="A12" s="104" t="s">
        <v>164</v>
      </c>
      <c r="B12" s="102">
        <v>0.80830000000000002</v>
      </c>
      <c r="C12" s="102">
        <v>110</v>
      </c>
      <c r="D12" s="102">
        <v>196.01</v>
      </c>
      <c r="E12" s="102">
        <v>195.46</v>
      </c>
      <c r="F12" s="161">
        <f t="shared" si="0"/>
        <v>4.9999999999998448E-3</v>
      </c>
      <c r="G12" s="162">
        <f t="shared" si="1"/>
        <v>0.14089118055555555</v>
      </c>
      <c r="H12" s="162">
        <f t="shared" si="2"/>
        <v>0.61482798611111111</v>
      </c>
      <c r="I12" s="102">
        <f t="shared" si="3"/>
        <v>0.68436247754846258</v>
      </c>
      <c r="J12" s="102">
        <v>0.8</v>
      </c>
      <c r="K12" s="161" t="str">
        <f>IF('CAL VERIFICAÇÕES'!Q12="OK","OK","NÃO OK")</f>
        <v>OK</v>
      </c>
      <c r="L12" s="105" t="s">
        <v>266</v>
      </c>
      <c r="M12" s="163" t="s">
        <v>266</v>
      </c>
    </row>
    <row r="13" spans="1:13" x14ac:dyDescent="0.3">
      <c r="A13" s="104" t="s">
        <v>165</v>
      </c>
      <c r="B13" s="102">
        <v>1.2438</v>
      </c>
      <c r="C13" s="102">
        <v>110</v>
      </c>
      <c r="D13" s="102">
        <v>195.46</v>
      </c>
      <c r="E13" s="102">
        <v>193.74</v>
      </c>
      <c r="F13" s="161">
        <f t="shared" si="0"/>
        <v>1.5636363636363625E-2</v>
      </c>
      <c r="G13" s="162">
        <f t="shared" si="1"/>
        <v>0.21680125</v>
      </c>
      <c r="H13" s="162">
        <f t="shared" si="2"/>
        <v>0.83162923611111106</v>
      </c>
      <c r="I13" s="102">
        <f t="shared" si="3"/>
        <v>0.61891877274094931</v>
      </c>
      <c r="J13" s="102">
        <v>0.8</v>
      </c>
      <c r="K13" s="161" t="str">
        <f>IF('CAL VERIFICAÇÕES'!Q13="OK","OK","NÃO OK")</f>
        <v>OK</v>
      </c>
      <c r="L13" s="105" t="s">
        <v>266</v>
      </c>
      <c r="M13" s="163" t="s">
        <v>266</v>
      </c>
    </row>
    <row r="14" spans="1:13" x14ac:dyDescent="0.3">
      <c r="A14" s="104" t="s">
        <v>166</v>
      </c>
      <c r="B14" s="102">
        <v>1.18</v>
      </c>
      <c r="C14" s="102">
        <v>110</v>
      </c>
      <c r="D14" s="102">
        <v>193.74</v>
      </c>
      <c r="E14" s="102">
        <v>190.63</v>
      </c>
      <c r="F14" s="161">
        <f t="shared" si="0"/>
        <v>2.8272727272727397E-2</v>
      </c>
      <c r="G14" s="162">
        <f t="shared" si="1"/>
        <v>0.20568055555555553</v>
      </c>
      <c r="H14" s="162">
        <f t="shared" si="2"/>
        <v>1.0373097916666665</v>
      </c>
      <c r="I14" s="102">
        <f t="shared" si="3"/>
        <v>0.60172033669664005</v>
      </c>
      <c r="J14" s="102">
        <v>0.8</v>
      </c>
      <c r="K14" s="161" t="str">
        <f>IF('CAL VERIFICAÇÕES'!Q14="OK","OK","NÃO OK")</f>
        <v>OK</v>
      </c>
      <c r="L14" s="105" t="s">
        <v>266</v>
      </c>
      <c r="M14" s="163" t="s">
        <v>266</v>
      </c>
    </row>
    <row r="15" spans="1:13" x14ac:dyDescent="0.3">
      <c r="A15" s="104" t="s">
        <v>167</v>
      </c>
      <c r="B15" s="102">
        <v>0.74360000000000004</v>
      </c>
      <c r="C15" s="102">
        <v>78</v>
      </c>
      <c r="D15" s="102">
        <v>190.63</v>
      </c>
      <c r="E15" s="102">
        <v>188.71</v>
      </c>
      <c r="F15" s="161">
        <f t="shared" si="0"/>
        <v>2.4615384615384456E-2</v>
      </c>
      <c r="G15" s="162">
        <f t="shared" si="1"/>
        <v>0.12961361111111111</v>
      </c>
      <c r="H15" s="162">
        <f t="shared" si="2"/>
        <v>1.1669234027777775</v>
      </c>
      <c r="I15" s="102">
        <f t="shared" si="3"/>
        <v>0.64543140626703821</v>
      </c>
      <c r="J15" s="102">
        <v>0.8</v>
      </c>
      <c r="K15" s="161" t="str">
        <f>IF('CAL VERIFICAÇÕES'!Q15="OK","OK","NÃO OK")</f>
        <v>OK</v>
      </c>
      <c r="L15" s="105" t="s">
        <v>266</v>
      </c>
      <c r="M15" s="163" t="s">
        <v>266</v>
      </c>
    </row>
    <row r="16" spans="1:13" x14ac:dyDescent="0.3">
      <c r="A16" s="104" t="s">
        <v>168</v>
      </c>
      <c r="B16" s="102">
        <v>1.2844</v>
      </c>
      <c r="C16" s="102">
        <v>89</v>
      </c>
      <c r="D16" s="102">
        <v>188.71</v>
      </c>
      <c r="E16" s="102">
        <v>186.06</v>
      </c>
      <c r="F16" s="161">
        <f t="shared" si="0"/>
        <v>2.9775280898876468E-2</v>
      </c>
      <c r="G16" s="162">
        <f t="shared" si="1"/>
        <v>0.22387805555555554</v>
      </c>
      <c r="H16" s="162">
        <f t="shared" si="2"/>
        <v>1.390801458333333</v>
      </c>
      <c r="I16" s="102">
        <f t="shared" si="3"/>
        <v>0.66517651385896737</v>
      </c>
      <c r="J16" s="102">
        <v>0.8</v>
      </c>
      <c r="K16" s="161" t="str">
        <f>IF('CAL VERIFICAÇÕES'!Q16="OK","OK","NÃO OK")</f>
        <v>OK</v>
      </c>
      <c r="L16" s="105" t="s">
        <v>266</v>
      </c>
      <c r="M16" s="163" t="s">
        <v>266</v>
      </c>
    </row>
    <row r="17" spans="1:13" x14ac:dyDescent="0.3">
      <c r="A17" s="104" t="s">
        <v>169</v>
      </c>
      <c r="B17" s="102">
        <v>1.2844</v>
      </c>
      <c r="C17" s="102">
        <v>23</v>
      </c>
      <c r="D17" s="102">
        <v>186.06</v>
      </c>
      <c r="E17" s="102">
        <v>185.45</v>
      </c>
      <c r="F17" s="161">
        <f t="shared" si="0"/>
        <v>2.6521739130435377E-2</v>
      </c>
      <c r="G17" s="162">
        <f t="shared" si="1"/>
        <v>0.22387805555555554</v>
      </c>
      <c r="H17" s="162">
        <f t="shared" si="2"/>
        <v>1.6146795138888885</v>
      </c>
      <c r="I17" s="102">
        <f t="shared" si="3"/>
        <v>0.71889829927788762</v>
      </c>
      <c r="J17" s="102">
        <v>0.8</v>
      </c>
      <c r="K17" s="161" t="str">
        <f>IF('CAL VERIFICAÇÕES'!Q17="OK","OK","NÃO OK")</f>
        <v>OK</v>
      </c>
      <c r="L17" s="105" t="s">
        <v>266</v>
      </c>
      <c r="M17" s="163" t="s">
        <v>266</v>
      </c>
    </row>
    <row r="18" spans="1:13" ht="14.5" thickBot="1" x14ac:dyDescent="0.35">
      <c r="A18" s="166" t="s">
        <v>216</v>
      </c>
      <c r="B18" s="167">
        <v>0</v>
      </c>
      <c r="C18" s="167">
        <v>79</v>
      </c>
      <c r="D18" s="167">
        <v>185.45</v>
      </c>
      <c r="E18" s="167">
        <v>184.83</v>
      </c>
      <c r="F18" s="168">
        <f t="shared" si="0"/>
        <v>7.8481012658224818E-3</v>
      </c>
      <c r="G18" s="169">
        <f t="shared" si="1"/>
        <v>0</v>
      </c>
      <c r="H18" s="169">
        <f t="shared" si="2"/>
        <v>1.6146795138888885</v>
      </c>
      <c r="I18" s="167">
        <f t="shared" si="3"/>
        <v>0.90328431459389746</v>
      </c>
      <c r="J18" s="167">
        <v>1</v>
      </c>
      <c r="K18" s="168" t="str">
        <f>IF('CAL VERIFICAÇÕES'!Q18="OK","OK","NÃO OK")</f>
        <v>OK</v>
      </c>
      <c r="L18" s="170" t="s">
        <v>266</v>
      </c>
      <c r="M18" s="171" t="s">
        <v>266</v>
      </c>
    </row>
    <row r="19" spans="1:13" x14ac:dyDescent="0.3">
      <c r="A19" s="160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74"/>
    </row>
    <row r="20" spans="1:13" x14ac:dyDescent="0.3">
      <c r="A20" s="160"/>
      <c r="B20" s="628" t="s">
        <v>240</v>
      </c>
      <c r="C20" s="628"/>
      <c r="D20" s="103"/>
      <c r="E20" s="103"/>
      <c r="F20" s="103"/>
      <c r="G20" s="103"/>
      <c r="H20" s="103"/>
      <c r="I20" s="103"/>
      <c r="J20" s="103"/>
      <c r="K20" s="103"/>
      <c r="L20" s="103"/>
      <c r="M20" s="174"/>
    </row>
    <row r="21" spans="1:13" x14ac:dyDescent="0.3">
      <c r="A21" s="160"/>
      <c r="B21" s="110" t="s">
        <v>241</v>
      </c>
      <c r="C21" s="110">
        <v>0.5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74"/>
    </row>
    <row r="22" spans="1:13" x14ac:dyDescent="0.3">
      <c r="A22" s="160"/>
      <c r="B22" s="110" t="s">
        <v>242</v>
      </c>
      <c r="C22" s="110">
        <v>125.5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74"/>
    </row>
    <row r="23" spans="1:13" x14ac:dyDescent="0.3">
      <c r="A23" s="160"/>
      <c r="B23" s="110" t="s">
        <v>243</v>
      </c>
      <c r="C23" s="164">
        <v>1.2999999999999999E-2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74"/>
    </row>
    <row r="24" spans="1:13" ht="28" x14ac:dyDescent="0.3">
      <c r="A24" s="160"/>
      <c r="B24" s="165" t="s">
        <v>251</v>
      </c>
      <c r="C24" s="110" t="s">
        <v>254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74"/>
    </row>
    <row r="25" spans="1:13" ht="28.5" thickBot="1" x14ac:dyDescent="0.35">
      <c r="A25" s="160"/>
      <c r="B25" s="172" t="s">
        <v>252</v>
      </c>
      <c r="C25" s="173" t="s">
        <v>253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74"/>
    </row>
    <row r="26" spans="1:13" ht="14.5" thickBot="1" x14ac:dyDescent="0.35">
      <c r="A26" s="385"/>
      <c r="B26" s="386"/>
      <c r="C26" s="386"/>
      <c r="D26" s="386"/>
      <c r="E26" s="386"/>
      <c r="F26" s="386"/>
      <c r="G26" s="386"/>
      <c r="H26" s="386"/>
      <c r="I26" s="386"/>
      <c r="J26" s="386"/>
      <c r="K26" s="386"/>
      <c r="L26" s="386"/>
      <c r="M26" s="387"/>
    </row>
    <row r="27" spans="1:13" x14ac:dyDescent="0.3">
      <c r="A27" s="629" t="s">
        <v>137</v>
      </c>
      <c r="B27" s="630"/>
      <c r="C27" s="630"/>
      <c r="D27" s="630"/>
      <c r="E27" s="629" t="s">
        <v>138</v>
      </c>
      <c r="F27" s="630"/>
      <c r="G27" s="631"/>
      <c r="H27" s="492" t="s">
        <v>142</v>
      </c>
      <c r="I27" s="493"/>
      <c r="J27" s="493"/>
      <c r="K27" s="493"/>
      <c r="L27" s="493"/>
      <c r="M27" s="494"/>
    </row>
    <row r="28" spans="1:13" ht="14.5" thickBot="1" x14ac:dyDescent="0.35">
      <c r="A28" s="390"/>
      <c r="B28" s="414"/>
      <c r="C28" s="414"/>
      <c r="D28" s="414"/>
      <c r="E28" s="390"/>
      <c r="F28" s="414"/>
      <c r="G28" s="391"/>
      <c r="H28" s="495"/>
      <c r="I28" s="496"/>
      <c r="J28" s="496"/>
      <c r="K28" s="496"/>
      <c r="L28" s="496"/>
      <c r="M28" s="497"/>
    </row>
    <row r="29" spans="1:13" x14ac:dyDescent="0.3">
      <c r="A29" s="462"/>
      <c r="B29" s="463"/>
      <c r="C29" s="463"/>
      <c r="D29" s="463"/>
      <c r="E29" s="462"/>
      <c r="F29" s="463"/>
      <c r="G29" s="464"/>
      <c r="H29" s="622" t="s">
        <v>269</v>
      </c>
      <c r="I29" s="623"/>
      <c r="J29" s="623"/>
      <c r="K29" s="623"/>
      <c r="L29" s="623"/>
      <c r="M29" s="624"/>
    </row>
    <row r="30" spans="1:13" x14ac:dyDescent="0.3">
      <c r="A30" s="356"/>
      <c r="B30" s="357"/>
      <c r="C30" s="357"/>
      <c r="D30" s="357"/>
      <c r="E30" s="356"/>
      <c r="F30" s="357"/>
      <c r="G30" s="465"/>
      <c r="H30" s="625"/>
      <c r="I30" s="626"/>
      <c r="J30" s="626"/>
      <c r="K30" s="626"/>
      <c r="L30" s="626"/>
      <c r="M30" s="627"/>
    </row>
    <row r="31" spans="1:13" x14ac:dyDescent="0.3">
      <c r="A31" s="418" t="s">
        <v>13</v>
      </c>
      <c r="B31" s="419"/>
      <c r="C31" s="419"/>
      <c r="D31" s="419"/>
      <c r="E31" s="483" t="s">
        <v>140</v>
      </c>
      <c r="F31" s="484"/>
      <c r="G31" s="485"/>
      <c r="H31" s="486" t="s">
        <v>268</v>
      </c>
      <c r="I31" s="502"/>
      <c r="J31" s="502"/>
      <c r="K31" s="502"/>
      <c r="L31" s="502"/>
      <c r="M31" s="503"/>
    </row>
    <row r="32" spans="1:13" ht="14.5" thickBot="1" x14ac:dyDescent="0.35">
      <c r="A32" s="400" t="s">
        <v>14</v>
      </c>
      <c r="B32" s="466"/>
      <c r="C32" s="401"/>
      <c r="D32" s="401"/>
      <c r="E32" s="390" t="s">
        <v>139</v>
      </c>
      <c r="F32" s="414"/>
      <c r="G32" s="391"/>
      <c r="H32" s="621"/>
      <c r="I32" s="401"/>
      <c r="J32" s="401"/>
      <c r="K32" s="401"/>
      <c r="L32" s="401"/>
      <c r="M32" s="346"/>
    </row>
    <row r="33" spans="6:6" x14ac:dyDescent="0.3">
      <c r="F33" s="12"/>
    </row>
  </sheetData>
  <mergeCells count="32">
    <mergeCell ref="B1:M1"/>
    <mergeCell ref="B2:M2"/>
    <mergeCell ref="B3:M3"/>
    <mergeCell ref="B4:M4"/>
    <mergeCell ref="A6:A8"/>
    <mergeCell ref="B6:B8"/>
    <mergeCell ref="C6:C8"/>
    <mergeCell ref="D6:D8"/>
    <mergeCell ref="L6:L8"/>
    <mergeCell ref="M6:M8"/>
    <mergeCell ref="E6:E8"/>
    <mergeCell ref="F6:F8"/>
    <mergeCell ref="G6:G8"/>
    <mergeCell ref="H6:H8"/>
    <mergeCell ref="I6:I8"/>
    <mergeCell ref="J6:J8"/>
    <mergeCell ref="A5:M5"/>
    <mergeCell ref="H31:M31"/>
    <mergeCell ref="H32:M32"/>
    <mergeCell ref="H29:M30"/>
    <mergeCell ref="A29:D30"/>
    <mergeCell ref="E29:G30"/>
    <mergeCell ref="A31:D31"/>
    <mergeCell ref="E31:G31"/>
    <mergeCell ref="A32:D32"/>
    <mergeCell ref="E32:G32"/>
    <mergeCell ref="B20:C20"/>
    <mergeCell ref="A26:M26"/>
    <mergeCell ref="A27:D28"/>
    <mergeCell ref="E27:G28"/>
    <mergeCell ref="H27:M28"/>
    <mergeCell ref="K6:K8"/>
  </mergeCells>
  <pageMargins left="0.511811024" right="0.511811024" top="1.1401041666666667" bottom="0.78740157499999996" header="0.31496062000000002" footer="0.31496062000000002"/>
  <pageSetup paperSize="9" scale="71" fitToHeight="0" orientation="landscape" r:id="rId1"/>
  <headerFooter>
    <oddHeader>&amp;C&amp;G</oddHeader>
    <oddFooter>&amp;CRua Rui Barbosa, 310 - Centro - Araputanga-MT – Cel: (65) 99613-9294 E-mail: carolina.o.almeida@hotmail.com / escalaprojeta@gmail.com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33"/>
  <sheetViews>
    <sheetView topLeftCell="A16" zoomScaleNormal="100" zoomScaleSheetLayoutView="100" workbookViewId="0">
      <selection activeCell="H20" sqref="H20"/>
    </sheetView>
  </sheetViews>
  <sheetFormatPr defaultRowHeight="14" x14ac:dyDescent="0.3"/>
  <cols>
    <col min="1" max="1" width="11.83203125" customWidth="1"/>
    <col min="2" max="3" width="16.75" customWidth="1"/>
    <col min="4" max="4" width="14.1640625" customWidth="1"/>
    <col min="5" max="5" width="11.1640625" customWidth="1"/>
    <col min="6" max="6" width="9.75" customWidth="1"/>
    <col min="7" max="7" width="14" customWidth="1"/>
    <col min="8" max="9" width="12.25" customWidth="1"/>
    <col min="10" max="10" width="14.1640625" customWidth="1"/>
    <col min="11" max="11" width="9.75" customWidth="1"/>
    <col min="12" max="12" width="9.83203125" customWidth="1"/>
    <col min="13" max="16" width="11.83203125" customWidth="1"/>
    <col min="17" max="17" width="13.75" customWidth="1"/>
    <col min="18" max="18" width="13.25" customWidth="1"/>
  </cols>
  <sheetData>
    <row r="1" spans="1:18" x14ac:dyDescent="0.3">
      <c r="A1" s="175" t="s">
        <v>0</v>
      </c>
      <c r="B1" s="632" t="str">
        <f>PLANILHA!B1</f>
        <v>Construção de rede de drenagem pluvial</v>
      </c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</row>
    <row r="2" spans="1:18" x14ac:dyDescent="0.3">
      <c r="A2" s="175" t="s">
        <v>1</v>
      </c>
      <c r="B2" s="632" t="str">
        <f>PLANILHA!B2</f>
        <v>Prefeitura Municipal de Indiavaí</v>
      </c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32"/>
      <c r="R2" s="632"/>
    </row>
    <row r="3" spans="1:18" x14ac:dyDescent="0.3">
      <c r="A3" s="175" t="s">
        <v>2</v>
      </c>
      <c r="B3" s="632" t="str">
        <f>PLANILHA!B3</f>
        <v>Avenida Governador Jayme Campos</v>
      </c>
      <c r="C3" s="632"/>
      <c r="D3" s="632"/>
      <c r="E3" s="632"/>
      <c r="F3" s="632"/>
      <c r="G3" s="632"/>
      <c r="H3" s="632"/>
      <c r="I3" s="632"/>
      <c r="J3" s="632"/>
      <c r="K3" s="632"/>
      <c r="L3" s="632"/>
      <c r="M3" s="632"/>
      <c r="N3" s="632"/>
      <c r="O3" s="632"/>
      <c r="P3" s="632"/>
      <c r="Q3" s="632"/>
      <c r="R3" s="632"/>
    </row>
    <row r="4" spans="1:18" x14ac:dyDescent="0.3">
      <c r="A4" s="176" t="s">
        <v>3</v>
      </c>
      <c r="B4" s="632" t="str">
        <f>DESCRIÇÃO!B4</f>
        <v>30 de julho de 2021</v>
      </c>
      <c r="C4" s="632"/>
      <c r="D4" s="632"/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2"/>
      <c r="Q4" s="632"/>
      <c r="R4" s="632"/>
    </row>
    <row r="5" spans="1:18" ht="14.5" thickBot="1" x14ac:dyDescent="0.35">
      <c r="A5" s="636" t="s">
        <v>259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8"/>
    </row>
    <row r="6" spans="1:18" ht="15" customHeight="1" x14ac:dyDescent="0.3">
      <c r="A6" s="614" t="s">
        <v>149</v>
      </c>
      <c r="B6" s="634" t="s">
        <v>215</v>
      </c>
      <c r="C6" s="634" t="s">
        <v>239</v>
      </c>
      <c r="D6" s="635" t="s">
        <v>153</v>
      </c>
      <c r="E6" s="610" t="s">
        <v>236</v>
      </c>
      <c r="F6" s="610" t="s">
        <v>237</v>
      </c>
      <c r="G6" s="610" t="s">
        <v>238</v>
      </c>
      <c r="H6" s="610" t="s">
        <v>255</v>
      </c>
      <c r="I6" s="610" t="s">
        <v>256</v>
      </c>
      <c r="J6" s="610" t="s">
        <v>250</v>
      </c>
      <c r="K6" s="610" t="s">
        <v>244</v>
      </c>
      <c r="L6" s="610" t="s">
        <v>245</v>
      </c>
      <c r="M6" s="602" t="s">
        <v>247</v>
      </c>
      <c r="N6" s="602" t="s">
        <v>246</v>
      </c>
      <c r="O6" s="602" t="s">
        <v>248</v>
      </c>
      <c r="P6" s="602" t="s">
        <v>249</v>
      </c>
      <c r="Q6" s="602" t="s">
        <v>258</v>
      </c>
      <c r="R6" s="602" t="s">
        <v>257</v>
      </c>
    </row>
    <row r="7" spans="1:18" ht="15" customHeight="1" x14ac:dyDescent="0.3">
      <c r="A7" s="615"/>
      <c r="B7" s="634"/>
      <c r="C7" s="634"/>
      <c r="D7" s="635"/>
      <c r="E7" s="611"/>
      <c r="F7" s="611"/>
      <c r="G7" s="611"/>
      <c r="H7" s="611"/>
      <c r="I7" s="611"/>
      <c r="J7" s="611"/>
      <c r="K7" s="611"/>
      <c r="L7" s="611"/>
      <c r="M7" s="603"/>
      <c r="N7" s="603"/>
      <c r="O7" s="603"/>
      <c r="P7" s="603"/>
      <c r="Q7" s="603"/>
      <c r="R7" s="603"/>
    </row>
    <row r="8" spans="1:18" ht="34.5" customHeight="1" x14ac:dyDescent="0.3">
      <c r="A8" s="615"/>
      <c r="B8" s="610"/>
      <c r="C8" s="610"/>
      <c r="D8" s="612"/>
      <c r="E8" s="611"/>
      <c r="F8" s="611"/>
      <c r="G8" s="611"/>
      <c r="H8" s="611"/>
      <c r="I8" s="611"/>
      <c r="J8" s="611"/>
      <c r="K8" s="611"/>
      <c r="L8" s="611"/>
      <c r="M8" s="603"/>
      <c r="N8" s="603"/>
      <c r="O8" s="603"/>
      <c r="P8" s="603"/>
      <c r="Q8" s="603"/>
      <c r="R8" s="603"/>
    </row>
    <row r="9" spans="1:18" x14ac:dyDescent="0.3">
      <c r="A9" s="104" t="s">
        <v>150</v>
      </c>
      <c r="B9" s="102">
        <v>0.6</v>
      </c>
      <c r="C9" s="102">
        <v>0.25540000000000002</v>
      </c>
      <c r="D9" s="102">
        <v>88</v>
      </c>
      <c r="E9" s="102">
        <v>200.82</v>
      </c>
      <c r="F9" s="102">
        <v>199</v>
      </c>
      <c r="G9" s="161">
        <f t="shared" ref="G9:G18" si="0">(E9-F9)/D9</f>
        <v>2.0681818181818103E-2</v>
      </c>
      <c r="H9" s="162">
        <f t="shared" ref="H9:H18" si="1">(C9*0.01*$C$21*$C$22)/3.6</f>
        <v>4.4517638888888898E-2</v>
      </c>
      <c r="I9" s="162">
        <f>(C9*0.01*C22*C21)/3.6</f>
        <v>4.4517638888888898E-2</v>
      </c>
      <c r="J9" s="102">
        <f t="shared" ref="J9:J18" si="2">((PI()*(B9^2))/(4*$C$23))*((B9/4)^(2/3))*G9^(1/2)</f>
        <v>0.88302071878815203</v>
      </c>
      <c r="K9" s="161">
        <f t="shared" ref="K9:K18" si="3">I9/J9</f>
        <v>5.0415169136670338E-2</v>
      </c>
      <c r="L9" s="161">
        <v>0.16</v>
      </c>
      <c r="M9" s="105">
        <f t="shared" ref="M9:M18" si="4">B9*L9</f>
        <v>9.6000000000000002E-2</v>
      </c>
      <c r="N9" s="163">
        <v>0.53759999999999997</v>
      </c>
      <c r="O9" s="105">
        <f t="shared" ref="O9:O18" si="5">J9/((PI()*(B9^2))/4)</f>
        <v>3.1230469388376187</v>
      </c>
      <c r="P9" s="105">
        <f t="shared" ref="P9:P18" si="6">N9*O9</f>
        <v>1.6789500343191037</v>
      </c>
      <c r="Q9" s="105" t="str">
        <f>IF(L9&lt;0.75,"OK","NÃO OK")</f>
        <v>OK</v>
      </c>
      <c r="R9" s="105" t="str">
        <f>IF(P9&lt;5,"OK","NÃO OK")</f>
        <v>OK</v>
      </c>
    </row>
    <row r="10" spans="1:18" x14ac:dyDescent="0.3">
      <c r="A10" s="104" t="s">
        <v>162</v>
      </c>
      <c r="B10" s="102">
        <v>0.6</v>
      </c>
      <c r="C10" s="102">
        <v>1.2270000000000001</v>
      </c>
      <c r="D10" s="102">
        <v>110</v>
      </c>
      <c r="E10" s="102">
        <v>199</v>
      </c>
      <c r="F10" s="102">
        <v>196.56</v>
      </c>
      <c r="G10" s="161">
        <f t="shared" si="0"/>
        <v>2.218181818181816E-2</v>
      </c>
      <c r="H10" s="162">
        <f t="shared" si="1"/>
        <v>0.21387291666666669</v>
      </c>
      <c r="I10" s="162">
        <f t="shared" ref="I10:I18" si="7">H10+I9</f>
        <v>0.25839055555555557</v>
      </c>
      <c r="J10" s="102">
        <f t="shared" si="2"/>
        <v>0.91448188396654251</v>
      </c>
      <c r="K10" s="161">
        <f t="shared" si="3"/>
        <v>0.28255404517669935</v>
      </c>
      <c r="L10" s="161">
        <v>0.37</v>
      </c>
      <c r="M10" s="105">
        <f t="shared" si="4"/>
        <v>0.222</v>
      </c>
      <c r="N10" s="163">
        <v>0.86750000000000005</v>
      </c>
      <c r="O10" s="105">
        <f t="shared" si="5"/>
        <v>3.2343180489169847</v>
      </c>
      <c r="P10" s="105">
        <f t="shared" si="6"/>
        <v>2.8057709074354844</v>
      </c>
      <c r="Q10" s="105" t="str">
        <f t="shared" ref="Q10:Q18" si="8">IF(L10&lt;0.75,"OK","NÃO OK")</f>
        <v>OK</v>
      </c>
      <c r="R10" s="105" t="str">
        <f t="shared" ref="R10:R18" si="9">IF(P10&lt;5,"OK","NÃO OK")</f>
        <v>OK</v>
      </c>
    </row>
    <row r="11" spans="1:18" x14ac:dyDescent="0.3">
      <c r="A11" s="104" t="s">
        <v>163</v>
      </c>
      <c r="B11" s="102">
        <v>0.8</v>
      </c>
      <c r="C11" s="102">
        <v>1.2365999999999999</v>
      </c>
      <c r="D11" s="102">
        <v>110</v>
      </c>
      <c r="E11" s="102">
        <v>196.56</v>
      </c>
      <c r="F11" s="102">
        <v>196.01</v>
      </c>
      <c r="G11" s="161">
        <f t="shared" si="0"/>
        <v>5.0000000000001033E-3</v>
      </c>
      <c r="H11" s="162">
        <f t="shared" si="1"/>
        <v>0.21554624999999999</v>
      </c>
      <c r="I11" s="162">
        <f t="shared" si="7"/>
        <v>0.47393680555555556</v>
      </c>
      <c r="J11" s="102">
        <f t="shared" si="2"/>
        <v>0.93504282561860652</v>
      </c>
      <c r="K11" s="161">
        <f t="shared" si="3"/>
        <v>0.50686106836016631</v>
      </c>
      <c r="L11" s="161">
        <v>0.51</v>
      </c>
      <c r="M11" s="105">
        <f t="shared" si="4"/>
        <v>0.40800000000000003</v>
      </c>
      <c r="N11" s="163">
        <v>1.0084</v>
      </c>
      <c r="O11" s="105">
        <f t="shared" si="5"/>
        <v>1.8602085962476791</v>
      </c>
      <c r="P11" s="105">
        <f t="shared" si="6"/>
        <v>1.8758343484561595</v>
      </c>
      <c r="Q11" s="105" t="str">
        <f t="shared" si="8"/>
        <v>OK</v>
      </c>
      <c r="R11" s="105" t="str">
        <f t="shared" si="9"/>
        <v>OK</v>
      </c>
    </row>
    <row r="12" spans="1:18" x14ac:dyDescent="0.3">
      <c r="A12" s="104" t="s">
        <v>164</v>
      </c>
      <c r="B12" s="102">
        <v>0.8</v>
      </c>
      <c r="C12" s="102">
        <v>0.80830000000000002</v>
      </c>
      <c r="D12" s="102">
        <v>110</v>
      </c>
      <c r="E12" s="102">
        <v>196.01</v>
      </c>
      <c r="F12" s="102">
        <v>195.46</v>
      </c>
      <c r="G12" s="161">
        <f t="shared" si="0"/>
        <v>4.9999999999998448E-3</v>
      </c>
      <c r="H12" s="162">
        <f t="shared" si="1"/>
        <v>0.14089118055555555</v>
      </c>
      <c r="I12" s="162">
        <f t="shared" si="7"/>
        <v>0.61482798611111111</v>
      </c>
      <c r="J12" s="102">
        <f t="shared" si="2"/>
        <v>0.93504282561858221</v>
      </c>
      <c r="K12" s="161">
        <f t="shared" si="3"/>
        <v>0.65753992145158546</v>
      </c>
      <c r="L12" s="161">
        <v>0.6</v>
      </c>
      <c r="M12" s="105">
        <f t="shared" si="4"/>
        <v>0.48</v>
      </c>
      <c r="N12" s="163">
        <v>1.0724</v>
      </c>
      <c r="O12" s="105">
        <f t="shared" si="5"/>
        <v>1.8602085962476307</v>
      </c>
      <c r="P12" s="105">
        <f t="shared" si="6"/>
        <v>1.9948876986159592</v>
      </c>
      <c r="Q12" s="105" t="str">
        <f t="shared" si="8"/>
        <v>OK</v>
      </c>
      <c r="R12" s="105" t="str">
        <f t="shared" si="9"/>
        <v>OK</v>
      </c>
    </row>
    <row r="13" spans="1:18" x14ac:dyDescent="0.3">
      <c r="A13" s="104" t="s">
        <v>165</v>
      </c>
      <c r="B13" s="102">
        <v>0.8</v>
      </c>
      <c r="C13" s="102">
        <v>1.2438</v>
      </c>
      <c r="D13" s="102">
        <v>110</v>
      </c>
      <c r="E13" s="102">
        <v>195.46</v>
      </c>
      <c r="F13" s="102">
        <v>193.74</v>
      </c>
      <c r="G13" s="161">
        <f t="shared" si="0"/>
        <v>1.5636363636363625E-2</v>
      </c>
      <c r="H13" s="162">
        <f t="shared" si="1"/>
        <v>0.21680125</v>
      </c>
      <c r="I13" s="162">
        <f t="shared" si="7"/>
        <v>0.83162923611111106</v>
      </c>
      <c r="J13" s="102">
        <f t="shared" si="2"/>
        <v>1.6535387657847864</v>
      </c>
      <c r="K13" s="161">
        <f t="shared" si="3"/>
        <v>0.50293906216127404</v>
      </c>
      <c r="L13" s="161">
        <v>0.51</v>
      </c>
      <c r="M13" s="105">
        <f t="shared" si="4"/>
        <v>0.40800000000000003</v>
      </c>
      <c r="N13" s="163">
        <v>1.0084</v>
      </c>
      <c r="O13" s="105">
        <f t="shared" si="5"/>
        <v>3.2896108521090066</v>
      </c>
      <c r="P13" s="105">
        <f t="shared" si="6"/>
        <v>3.317243583266722</v>
      </c>
      <c r="Q13" s="105" t="str">
        <f t="shared" si="8"/>
        <v>OK</v>
      </c>
      <c r="R13" s="105" t="str">
        <f t="shared" si="9"/>
        <v>OK</v>
      </c>
    </row>
    <row r="14" spans="1:18" x14ac:dyDescent="0.3">
      <c r="A14" s="104" t="s">
        <v>166</v>
      </c>
      <c r="B14" s="102">
        <v>0.8</v>
      </c>
      <c r="C14" s="102">
        <v>1.18</v>
      </c>
      <c r="D14" s="102">
        <v>110</v>
      </c>
      <c r="E14" s="102">
        <v>193.74</v>
      </c>
      <c r="F14" s="102">
        <v>190.63</v>
      </c>
      <c r="G14" s="161">
        <f t="shared" si="0"/>
        <v>2.8272727272727397E-2</v>
      </c>
      <c r="H14" s="162">
        <f t="shared" si="1"/>
        <v>0.20568055555555553</v>
      </c>
      <c r="I14" s="162">
        <f t="shared" si="7"/>
        <v>1.0373097916666665</v>
      </c>
      <c r="J14" s="102">
        <f t="shared" si="2"/>
        <v>2.2234652793470127</v>
      </c>
      <c r="K14" s="161">
        <f t="shared" si="3"/>
        <v>0.466528441573553</v>
      </c>
      <c r="L14" s="161">
        <v>0.49</v>
      </c>
      <c r="M14" s="105">
        <f t="shared" si="4"/>
        <v>0.39200000000000002</v>
      </c>
      <c r="N14" s="163">
        <v>0.99139999999999995</v>
      </c>
      <c r="O14" s="105">
        <f t="shared" si="5"/>
        <v>4.4234436250159872</v>
      </c>
      <c r="P14" s="105">
        <f t="shared" si="6"/>
        <v>4.385402009840849</v>
      </c>
      <c r="Q14" s="105" t="str">
        <f t="shared" si="8"/>
        <v>OK</v>
      </c>
      <c r="R14" s="105" t="str">
        <f t="shared" si="9"/>
        <v>OK</v>
      </c>
    </row>
    <row r="15" spans="1:18" x14ac:dyDescent="0.3">
      <c r="A15" s="104" t="s">
        <v>167</v>
      </c>
      <c r="B15" s="102">
        <v>0.8</v>
      </c>
      <c r="C15" s="102">
        <v>0.74360000000000004</v>
      </c>
      <c r="D15" s="102">
        <v>78</v>
      </c>
      <c r="E15" s="102">
        <v>190.63</v>
      </c>
      <c r="F15" s="102">
        <v>188.71</v>
      </c>
      <c r="G15" s="161">
        <f t="shared" si="0"/>
        <v>2.4615384615384456E-2</v>
      </c>
      <c r="H15" s="162">
        <f t="shared" si="1"/>
        <v>0.12961361111111111</v>
      </c>
      <c r="I15" s="162">
        <f t="shared" si="7"/>
        <v>1.1669234027777775</v>
      </c>
      <c r="J15" s="102">
        <f t="shared" si="2"/>
        <v>2.0746737553985066</v>
      </c>
      <c r="K15" s="161">
        <f t="shared" si="3"/>
        <v>0.56246115792486762</v>
      </c>
      <c r="L15" s="161">
        <v>0.54</v>
      </c>
      <c r="M15" s="105">
        <f t="shared" si="4"/>
        <v>0.43200000000000005</v>
      </c>
      <c r="N15" s="163">
        <v>1.032</v>
      </c>
      <c r="O15" s="105">
        <f t="shared" si="5"/>
        <v>4.127432293433726</v>
      </c>
      <c r="P15" s="105">
        <f t="shared" si="6"/>
        <v>4.2595101268236055</v>
      </c>
      <c r="Q15" s="105" t="str">
        <f t="shared" si="8"/>
        <v>OK</v>
      </c>
      <c r="R15" s="105" t="str">
        <f t="shared" si="9"/>
        <v>OK</v>
      </c>
    </row>
    <row r="16" spans="1:18" x14ac:dyDescent="0.3">
      <c r="A16" s="104" t="s">
        <v>168</v>
      </c>
      <c r="B16" s="102">
        <v>0.8</v>
      </c>
      <c r="C16" s="102">
        <v>1.2844</v>
      </c>
      <c r="D16" s="102">
        <v>89</v>
      </c>
      <c r="E16" s="102">
        <v>188.71</v>
      </c>
      <c r="F16" s="102">
        <v>186.06</v>
      </c>
      <c r="G16" s="161">
        <f t="shared" si="0"/>
        <v>2.9775280898876468E-2</v>
      </c>
      <c r="H16" s="162">
        <f t="shared" si="1"/>
        <v>0.22387805555555554</v>
      </c>
      <c r="I16" s="162">
        <f t="shared" si="7"/>
        <v>1.390801458333333</v>
      </c>
      <c r="J16" s="102">
        <f t="shared" si="2"/>
        <v>2.2817834918873823</v>
      </c>
      <c r="K16" s="161">
        <f t="shared" si="3"/>
        <v>0.60952384977723217</v>
      </c>
      <c r="L16" s="161">
        <v>0.56999999999999995</v>
      </c>
      <c r="M16" s="105">
        <f t="shared" si="4"/>
        <v>0.45599999999999996</v>
      </c>
      <c r="N16" s="163">
        <v>1.0532999999999999</v>
      </c>
      <c r="O16" s="105">
        <f t="shared" si="5"/>
        <v>4.539464022492032</v>
      </c>
      <c r="P16" s="105">
        <f t="shared" si="6"/>
        <v>4.7814174548908568</v>
      </c>
      <c r="Q16" s="105" t="str">
        <f t="shared" si="8"/>
        <v>OK</v>
      </c>
      <c r="R16" s="105" t="str">
        <f t="shared" si="9"/>
        <v>OK</v>
      </c>
    </row>
    <row r="17" spans="1:18" x14ac:dyDescent="0.3">
      <c r="A17" s="104" t="s">
        <v>169</v>
      </c>
      <c r="B17" s="102">
        <v>0.8</v>
      </c>
      <c r="C17" s="102">
        <v>1.2844</v>
      </c>
      <c r="D17" s="102">
        <v>23</v>
      </c>
      <c r="E17" s="102">
        <v>186.06</v>
      </c>
      <c r="F17" s="102">
        <v>185.45</v>
      </c>
      <c r="G17" s="161">
        <f t="shared" si="0"/>
        <v>2.6521739130435377E-2</v>
      </c>
      <c r="H17" s="162">
        <f t="shared" si="1"/>
        <v>0.22387805555555554</v>
      </c>
      <c r="I17" s="162">
        <f t="shared" si="7"/>
        <v>1.6146795138888885</v>
      </c>
      <c r="J17" s="102">
        <f t="shared" si="2"/>
        <v>2.1535130092214758</v>
      </c>
      <c r="K17" s="161">
        <f>I17/J17</f>
        <v>0.74978860446848061</v>
      </c>
      <c r="L17" s="161">
        <v>0.6</v>
      </c>
      <c r="M17" s="105">
        <f t="shared" si="4"/>
        <v>0.48</v>
      </c>
      <c r="N17" s="163">
        <v>1.0724</v>
      </c>
      <c r="O17" s="105">
        <f t="shared" si="5"/>
        <v>4.284278005378753</v>
      </c>
      <c r="P17" s="105">
        <f t="shared" si="6"/>
        <v>4.5944597329681747</v>
      </c>
      <c r="Q17" s="105" t="str">
        <f t="shared" si="8"/>
        <v>OK</v>
      </c>
      <c r="R17" s="105" t="str">
        <f t="shared" si="9"/>
        <v>OK</v>
      </c>
    </row>
    <row r="18" spans="1:18" ht="14.5" thickBot="1" x14ac:dyDescent="0.35">
      <c r="A18" s="166" t="s">
        <v>216</v>
      </c>
      <c r="B18" s="167">
        <v>1</v>
      </c>
      <c r="C18" s="167">
        <v>0</v>
      </c>
      <c r="D18" s="167">
        <v>79</v>
      </c>
      <c r="E18" s="167">
        <v>185.45</v>
      </c>
      <c r="F18" s="167">
        <v>184.83</v>
      </c>
      <c r="G18" s="168">
        <f t="shared" si="0"/>
        <v>7.8481012658224818E-3</v>
      </c>
      <c r="H18" s="169">
        <f t="shared" si="1"/>
        <v>0</v>
      </c>
      <c r="I18" s="169">
        <f t="shared" si="7"/>
        <v>1.6146795138888885</v>
      </c>
      <c r="J18" s="167">
        <f t="shared" si="2"/>
        <v>2.1240048329950167</v>
      </c>
      <c r="K18" s="168">
        <f t="shared" si="3"/>
        <v>0.76020519765581762</v>
      </c>
      <c r="L18" s="168">
        <v>0.73</v>
      </c>
      <c r="M18" s="170">
        <f t="shared" si="4"/>
        <v>0.73</v>
      </c>
      <c r="N18" s="171">
        <v>1.1288</v>
      </c>
      <c r="O18" s="170">
        <f t="shared" si="5"/>
        <v>2.7043669465778604</v>
      </c>
      <c r="P18" s="170">
        <f t="shared" si="6"/>
        <v>3.0526894092970887</v>
      </c>
      <c r="Q18" s="170" t="str">
        <f t="shared" si="8"/>
        <v>OK</v>
      </c>
      <c r="R18" s="170" t="str">
        <f t="shared" si="9"/>
        <v>OK</v>
      </c>
    </row>
    <row r="19" spans="1:18" x14ac:dyDescent="0.3">
      <c r="A19" s="160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74"/>
    </row>
    <row r="20" spans="1:18" x14ac:dyDescent="0.3">
      <c r="A20" s="160"/>
      <c r="B20" s="628" t="s">
        <v>240</v>
      </c>
      <c r="C20" s="628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74"/>
    </row>
    <row r="21" spans="1:18" x14ac:dyDescent="0.3">
      <c r="A21" s="160"/>
      <c r="B21" s="110" t="s">
        <v>241</v>
      </c>
      <c r="C21" s="110">
        <v>0.5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87"/>
      <c r="Q21" s="87"/>
      <c r="R21" s="174"/>
    </row>
    <row r="22" spans="1:18" x14ac:dyDescent="0.3">
      <c r="A22" s="160"/>
      <c r="B22" s="110" t="s">
        <v>242</v>
      </c>
      <c r="C22" s="110">
        <v>125.5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87"/>
      <c r="Q22" s="87"/>
      <c r="R22" s="174"/>
    </row>
    <row r="23" spans="1:18" x14ac:dyDescent="0.3">
      <c r="A23" s="160"/>
      <c r="B23" s="110" t="s">
        <v>243</v>
      </c>
      <c r="C23" s="164">
        <v>1.2999999999999999E-2</v>
      </c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87"/>
      <c r="Q23" s="87"/>
      <c r="R23" s="174"/>
    </row>
    <row r="24" spans="1:18" ht="28" x14ac:dyDescent="0.3">
      <c r="A24" s="160"/>
      <c r="B24" s="165" t="s">
        <v>251</v>
      </c>
      <c r="C24" s="110" t="s">
        <v>254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74"/>
    </row>
    <row r="25" spans="1:18" ht="28.5" thickBot="1" x14ac:dyDescent="0.35">
      <c r="A25" s="160"/>
      <c r="B25" s="172" t="s">
        <v>252</v>
      </c>
      <c r="C25" s="173" t="s">
        <v>253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74"/>
    </row>
    <row r="26" spans="1:18" ht="14.5" thickBot="1" x14ac:dyDescent="0.35">
      <c r="A26" s="385"/>
      <c r="B26" s="386"/>
      <c r="C26" s="386"/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7"/>
    </row>
    <row r="27" spans="1:18" x14ac:dyDescent="0.3">
      <c r="A27" s="629" t="s">
        <v>137</v>
      </c>
      <c r="B27" s="630"/>
      <c r="C27" s="630"/>
      <c r="D27" s="630"/>
      <c r="E27" s="629" t="s">
        <v>138</v>
      </c>
      <c r="F27" s="630"/>
      <c r="G27" s="631"/>
      <c r="H27" s="492" t="s">
        <v>142</v>
      </c>
      <c r="I27" s="493"/>
      <c r="J27" s="493"/>
      <c r="K27" s="493"/>
      <c r="L27" s="493"/>
      <c r="M27" s="493"/>
      <c r="N27" s="493"/>
      <c r="O27" s="493"/>
      <c r="P27" s="493"/>
      <c r="Q27" s="493"/>
      <c r="R27" s="494"/>
    </row>
    <row r="28" spans="1:18" ht="14.5" thickBot="1" x14ac:dyDescent="0.35">
      <c r="A28" s="390"/>
      <c r="B28" s="414"/>
      <c r="C28" s="414"/>
      <c r="D28" s="414"/>
      <c r="E28" s="390"/>
      <c r="F28" s="414"/>
      <c r="G28" s="391"/>
      <c r="H28" s="495"/>
      <c r="I28" s="496"/>
      <c r="J28" s="496"/>
      <c r="K28" s="496"/>
      <c r="L28" s="496"/>
      <c r="M28" s="496"/>
      <c r="N28" s="496"/>
      <c r="O28" s="496"/>
      <c r="P28" s="496"/>
      <c r="Q28" s="496"/>
      <c r="R28" s="497"/>
    </row>
    <row r="29" spans="1:18" x14ac:dyDescent="0.3">
      <c r="A29" s="462"/>
      <c r="B29" s="463"/>
      <c r="C29" s="463"/>
      <c r="D29" s="463"/>
      <c r="E29" s="462"/>
      <c r="F29" s="463"/>
      <c r="G29" s="464"/>
      <c r="H29" s="402"/>
      <c r="I29" s="403"/>
      <c r="J29" s="403"/>
      <c r="K29" s="403"/>
      <c r="L29" s="403"/>
      <c r="M29" s="403"/>
      <c r="N29" s="403"/>
      <c r="O29" s="403"/>
      <c r="P29" s="403"/>
      <c r="Q29" s="403"/>
      <c r="R29" s="344"/>
    </row>
    <row r="30" spans="1:18" x14ac:dyDescent="0.3">
      <c r="A30" s="356"/>
      <c r="B30" s="357"/>
      <c r="C30" s="357"/>
      <c r="D30" s="357"/>
      <c r="E30" s="356"/>
      <c r="F30" s="357"/>
      <c r="G30" s="465"/>
      <c r="H30" s="402"/>
      <c r="I30" s="403"/>
      <c r="J30" s="403"/>
      <c r="K30" s="403"/>
      <c r="L30" s="403"/>
      <c r="M30" s="403"/>
      <c r="N30" s="403"/>
      <c r="O30" s="403"/>
      <c r="P30" s="403"/>
      <c r="Q30" s="403"/>
      <c r="R30" s="344"/>
    </row>
    <row r="31" spans="1:18" x14ac:dyDescent="0.3">
      <c r="A31" s="418" t="s">
        <v>13</v>
      </c>
      <c r="B31" s="419"/>
      <c r="C31" s="419"/>
      <c r="D31" s="419"/>
      <c r="E31" s="483" t="s">
        <v>140</v>
      </c>
      <c r="F31" s="484"/>
      <c r="G31" s="485"/>
      <c r="H31" s="402"/>
      <c r="I31" s="403"/>
      <c r="J31" s="403"/>
      <c r="K31" s="403"/>
      <c r="L31" s="403"/>
      <c r="M31" s="403"/>
      <c r="N31" s="403"/>
      <c r="O31" s="403"/>
      <c r="P31" s="403"/>
      <c r="Q31" s="403"/>
      <c r="R31" s="344"/>
    </row>
    <row r="32" spans="1:18" ht="14.5" thickBot="1" x14ac:dyDescent="0.35">
      <c r="A32" s="400" t="s">
        <v>14</v>
      </c>
      <c r="B32" s="466"/>
      <c r="C32" s="401"/>
      <c r="D32" s="401"/>
      <c r="E32" s="390" t="s">
        <v>139</v>
      </c>
      <c r="F32" s="414"/>
      <c r="G32" s="391"/>
      <c r="H32" s="621"/>
      <c r="I32" s="401"/>
      <c r="J32" s="401"/>
      <c r="K32" s="401"/>
      <c r="L32" s="401"/>
      <c r="M32" s="401"/>
      <c r="N32" s="401"/>
      <c r="O32" s="401"/>
      <c r="P32" s="401"/>
      <c r="Q32" s="401"/>
      <c r="R32" s="346"/>
    </row>
    <row r="33" spans="6:6" x14ac:dyDescent="0.3">
      <c r="F33" s="12"/>
    </row>
  </sheetData>
  <mergeCells count="35">
    <mergeCell ref="A5:R5"/>
    <mergeCell ref="A26:R26"/>
    <mergeCell ref="O6:O8"/>
    <mergeCell ref="P6:P8"/>
    <mergeCell ref="L6:L8"/>
    <mergeCell ref="N6:N8"/>
    <mergeCell ref="J6:J8"/>
    <mergeCell ref="K6:K8"/>
    <mergeCell ref="B20:C20"/>
    <mergeCell ref="R6:R8"/>
    <mergeCell ref="Q6:Q8"/>
    <mergeCell ref="A29:D30"/>
    <mergeCell ref="E29:G30"/>
    <mergeCell ref="H27:R28"/>
    <mergeCell ref="H29:R32"/>
    <mergeCell ref="A31:D31"/>
    <mergeCell ref="E31:G31"/>
    <mergeCell ref="A32:D32"/>
    <mergeCell ref="E32:G32"/>
    <mergeCell ref="B1:R1"/>
    <mergeCell ref="B2:R2"/>
    <mergeCell ref="B3:R3"/>
    <mergeCell ref="B4:R4"/>
    <mergeCell ref="A27:D28"/>
    <mergeCell ref="E27:G28"/>
    <mergeCell ref="A6:A8"/>
    <mergeCell ref="C6:C8"/>
    <mergeCell ref="D6:D8"/>
    <mergeCell ref="E6:E8"/>
    <mergeCell ref="F6:F8"/>
    <mergeCell ref="H6:H8"/>
    <mergeCell ref="M6:M8"/>
    <mergeCell ref="B6:B8"/>
    <mergeCell ref="G6:G8"/>
    <mergeCell ref="I6:I8"/>
  </mergeCells>
  <pageMargins left="0.511811024" right="0.511811024" top="1.1401041666666667" bottom="0.78740157499999996" header="0.31496062000000002" footer="0.31496062000000002"/>
  <pageSetup paperSize="9" scale="55" fitToHeight="0" orientation="landscape" r:id="rId1"/>
  <headerFooter>
    <oddHeader>&amp;C&amp;G</oddHeader>
    <oddFooter>&amp;CRua Rui Barbosa, 310 - Centro - Araputanga-MT – Cel: (65) 99613-9294 E-mail: carolina.o.almeida@hotmail.com / escalaprojeta@gmail.com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998"/>
  <sheetViews>
    <sheetView workbookViewId="0">
      <selection activeCell="G31" sqref="G31"/>
    </sheetView>
  </sheetViews>
  <sheetFormatPr defaultColWidth="12.6640625" defaultRowHeight="15" customHeight="1" x14ac:dyDescent="0.3"/>
  <cols>
    <col min="1" max="1" width="11.83203125" customWidth="1"/>
    <col min="2" max="2" width="16.75" customWidth="1"/>
    <col min="3" max="3" width="14.6640625" customWidth="1"/>
    <col min="4" max="4" width="12.5" customWidth="1"/>
    <col min="5" max="5" width="16.5" customWidth="1"/>
    <col min="6" max="6" width="12.5" customWidth="1"/>
    <col min="7" max="7" width="12" customWidth="1"/>
    <col min="8" max="8" width="12.5" customWidth="1"/>
    <col min="9" max="9" width="15.5" customWidth="1"/>
    <col min="10" max="10" width="12.1640625" customWidth="1"/>
    <col min="11" max="11" width="12.33203125" customWidth="1"/>
    <col min="12" max="23" width="7.6640625" customWidth="1"/>
  </cols>
  <sheetData>
    <row r="1" spans="1:11" ht="14" x14ac:dyDescent="0.3">
      <c r="A1" s="56" t="s">
        <v>0</v>
      </c>
      <c r="B1" s="604" t="str">
        <f>PLANILHA!B1</f>
        <v>Construção de rede de drenagem pluvial</v>
      </c>
      <c r="C1" s="502"/>
      <c r="D1" s="502"/>
      <c r="E1" s="502"/>
      <c r="F1" s="502"/>
      <c r="G1" s="502"/>
      <c r="H1" s="502"/>
      <c r="I1" s="502"/>
      <c r="J1" s="502"/>
      <c r="K1" s="502"/>
    </row>
    <row r="2" spans="1:11" ht="14" x14ac:dyDescent="0.3">
      <c r="A2" s="56" t="s">
        <v>1</v>
      </c>
      <c r="B2" s="604" t="str">
        <f>PLANILHA!B2</f>
        <v>Prefeitura Municipal de Indiavaí</v>
      </c>
      <c r="C2" s="502"/>
      <c r="D2" s="502"/>
      <c r="E2" s="502"/>
      <c r="F2" s="502"/>
      <c r="G2" s="502"/>
      <c r="H2" s="502"/>
      <c r="I2" s="502"/>
      <c r="J2" s="502"/>
      <c r="K2" s="502"/>
    </row>
    <row r="3" spans="1:11" ht="14" x14ac:dyDescent="0.3">
      <c r="A3" s="56" t="s">
        <v>2</v>
      </c>
      <c r="B3" s="604" t="str">
        <f>PLANILHA!B3</f>
        <v>Avenida Governador Jayme Campos</v>
      </c>
      <c r="C3" s="502"/>
      <c r="D3" s="502"/>
      <c r="E3" s="502"/>
      <c r="F3" s="502"/>
      <c r="G3" s="502"/>
      <c r="H3" s="502"/>
      <c r="I3" s="502"/>
      <c r="J3" s="502"/>
      <c r="K3" s="502"/>
    </row>
    <row r="4" spans="1:11" ht="14.5" thickBot="1" x14ac:dyDescent="0.35">
      <c r="A4" s="57" t="s">
        <v>3</v>
      </c>
      <c r="B4" s="605" t="str">
        <f>DESCRIÇÃO!B4</f>
        <v>30 de julho de 2021</v>
      </c>
      <c r="C4" s="606"/>
      <c r="D4" s="606"/>
      <c r="E4" s="606"/>
      <c r="F4" s="606"/>
      <c r="G4" s="606"/>
      <c r="H4" s="606"/>
      <c r="I4" s="606"/>
      <c r="J4" s="606"/>
      <c r="K4" s="606"/>
    </row>
    <row r="5" spans="1:11" ht="14.5" thickBot="1" x14ac:dyDescent="0.35">
      <c r="A5" s="607" t="s">
        <v>197</v>
      </c>
      <c r="B5" s="608"/>
      <c r="C5" s="608"/>
      <c r="D5" s="608"/>
      <c r="E5" s="608"/>
      <c r="F5" s="608"/>
      <c r="G5" s="608"/>
      <c r="H5" s="608"/>
      <c r="I5" s="608"/>
      <c r="J5" s="608"/>
      <c r="K5" s="609"/>
    </row>
    <row r="6" spans="1:11" ht="15" customHeight="1" x14ac:dyDescent="0.3">
      <c r="A6" s="614" t="s">
        <v>149</v>
      </c>
      <c r="B6" s="642" t="s">
        <v>174</v>
      </c>
      <c r="C6" s="612" t="s">
        <v>176</v>
      </c>
      <c r="D6" s="610" t="s">
        <v>177</v>
      </c>
      <c r="E6" s="610" t="s">
        <v>178</v>
      </c>
      <c r="F6" s="610" t="s">
        <v>179</v>
      </c>
      <c r="G6" s="610" t="s">
        <v>180</v>
      </c>
      <c r="H6" s="610" t="s">
        <v>181</v>
      </c>
      <c r="I6" s="610" t="s">
        <v>182</v>
      </c>
      <c r="J6" s="610" t="s">
        <v>158</v>
      </c>
      <c r="K6" s="602" t="s">
        <v>159</v>
      </c>
    </row>
    <row r="7" spans="1:11" ht="14.25" customHeight="1" x14ac:dyDescent="0.3">
      <c r="A7" s="615"/>
      <c r="B7" s="635"/>
      <c r="C7" s="613"/>
      <c r="D7" s="611"/>
      <c r="E7" s="611"/>
      <c r="F7" s="611"/>
      <c r="G7" s="611"/>
      <c r="H7" s="611"/>
      <c r="I7" s="611"/>
      <c r="J7" s="611"/>
      <c r="K7" s="603"/>
    </row>
    <row r="8" spans="1:11" ht="36.75" customHeight="1" x14ac:dyDescent="0.3">
      <c r="A8" s="615"/>
      <c r="B8" s="612"/>
      <c r="C8" s="613"/>
      <c r="D8" s="611"/>
      <c r="E8" s="611"/>
      <c r="F8" s="611"/>
      <c r="G8" s="611"/>
      <c r="H8" s="611"/>
      <c r="I8" s="611"/>
      <c r="J8" s="611"/>
      <c r="K8" s="603"/>
    </row>
    <row r="9" spans="1:11" ht="14" x14ac:dyDescent="0.3">
      <c r="A9" s="104" t="s">
        <v>173</v>
      </c>
      <c r="B9" s="102" t="s">
        <v>218</v>
      </c>
      <c r="C9" s="102">
        <f t="shared" ref="C9:C18" si="0">IF(B9="PVI02",0.8,IF(B9="PVI03",1,IF(B9="PVI04",1.3,IF(B9="PVI05",1.5,IF(B9="PVI06",1.8)))))</f>
        <v>1.3</v>
      </c>
      <c r="D9" s="102">
        <v>1.9</v>
      </c>
      <c r="E9" s="102">
        <f>IF(B9="PVI02",1.3,IF(B9="PVI03",1.4,IF(B9="PVI04",1.5,IF(B9="PVI05",1.7,IF(B9="PVI06",2)))))</f>
        <v>1.5</v>
      </c>
      <c r="F9" s="102">
        <f>C9+I9</f>
        <v>1.8</v>
      </c>
      <c r="G9" s="102">
        <f>D9+0.6</f>
        <v>2.5</v>
      </c>
      <c r="H9" s="102">
        <f>E9+0.6</f>
        <v>2.1</v>
      </c>
      <c r="I9" s="102">
        <v>0.5</v>
      </c>
      <c r="J9" s="102">
        <f>F9*G9*H9</f>
        <v>9.4500000000000011</v>
      </c>
      <c r="K9" s="105">
        <f>J9-(C9*D9*E9)</f>
        <v>5.745000000000001</v>
      </c>
    </row>
    <row r="10" spans="1:11" ht="14" x14ac:dyDescent="0.3">
      <c r="A10" s="104" t="s">
        <v>183</v>
      </c>
      <c r="B10" s="102" t="s">
        <v>218</v>
      </c>
      <c r="C10" s="102">
        <f t="shared" si="0"/>
        <v>1.3</v>
      </c>
      <c r="D10" s="102">
        <v>1.9</v>
      </c>
      <c r="E10" s="102">
        <f>IF(B10="PVI02",1.3,IF(B10="PVI03",1.4,IF(B10="PVI04",1.5,IF(B10="PVI05",1.7,IF(B10="PVI06",2)))))</f>
        <v>1.5</v>
      </c>
      <c r="F10" s="102">
        <f>C10+I10</f>
        <v>1.96</v>
      </c>
      <c r="G10" s="102">
        <f>D10+0.6</f>
        <v>2.5</v>
      </c>
      <c r="H10" s="102">
        <f>E10+0.6</f>
        <v>2.1</v>
      </c>
      <c r="I10" s="102">
        <v>0.66</v>
      </c>
      <c r="J10" s="102">
        <f>F10*G10*H10</f>
        <v>10.290000000000001</v>
      </c>
      <c r="K10" s="105">
        <f>J10-(C10*D10*E10)</f>
        <v>6.5850000000000009</v>
      </c>
    </row>
    <row r="11" spans="1:11" ht="14" x14ac:dyDescent="0.3">
      <c r="A11" s="104" t="s">
        <v>184</v>
      </c>
      <c r="B11" s="102" t="s">
        <v>218</v>
      </c>
      <c r="C11" s="102">
        <f t="shared" si="0"/>
        <v>1.3</v>
      </c>
      <c r="D11" s="102">
        <v>1.9</v>
      </c>
      <c r="E11" s="102">
        <f t="shared" ref="E11:E17" si="1">IF(B11="PVI02",1.3,IF(B11="PVI03",1.4,IF(B11="PVI04",1.5,IF(B11="PVI05",1.7,IF(B11="PVI06",2)))))</f>
        <v>1.5</v>
      </c>
      <c r="F11" s="102">
        <f t="shared" ref="F11:F17" si="2">C11+I11</f>
        <v>2.2000000000000002</v>
      </c>
      <c r="G11" s="102">
        <f t="shared" ref="G11:G17" si="3">D11+0.6</f>
        <v>2.5</v>
      </c>
      <c r="H11" s="102">
        <f t="shared" ref="H11:H17" si="4">E11+0.6</f>
        <v>2.1</v>
      </c>
      <c r="I11" s="102">
        <v>0.9</v>
      </c>
      <c r="J11" s="102">
        <f t="shared" ref="J11:J17" si="5">F11*G11*H11</f>
        <v>11.55</v>
      </c>
      <c r="K11" s="105">
        <f t="shared" ref="K11:K17" si="6">J11-(C11*D11*E11)</f>
        <v>7.8450000000000006</v>
      </c>
    </row>
    <row r="12" spans="1:11" ht="14" x14ac:dyDescent="0.3">
      <c r="A12" s="104" t="s">
        <v>185</v>
      </c>
      <c r="B12" s="102" t="s">
        <v>218</v>
      </c>
      <c r="C12" s="102">
        <f t="shared" si="0"/>
        <v>1.3</v>
      </c>
      <c r="D12" s="102">
        <v>1.9</v>
      </c>
      <c r="E12" s="102">
        <f t="shared" si="1"/>
        <v>1.5</v>
      </c>
      <c r="F12" s="102">
        <f t="shared" si="2"/>
        <v>4.18</v>
      </c>
      <c r="G12" s="102">
        <f t="shared" si="3"/>
        <v>2.5</v>
      </c>
      <c r="H12" s="102">
        <f t="shared" si="4"/>
        <v>2.1</v>
      </c>
      <c r="I12" s="102">
        <v>2.88</v>
      </c>
      <c r="J12" s="102">
        <f t="shared" si="5"/>
        <v>21.945</v>
      </c>
      <c r="K12" s="105">
        <f t="shared" si="6"/>
        <v>18.240000000000002</v>
      </c>
    </row>
    <row r="13" spans="1:11" ht="14" x14ac:dyDescent="0.3">
      <c r="A13" s="104" t="s">
        <v>186</v>
      </c>
      <c r="B13" s="102" t="s">
        <v>218</v>
      </c>
      <c r="C13" s="102">
        <f t="shared" si="0"/>
        <v>1.3</v>
      </c>
      <c r="D13" s="102">
        <v>1.9</v>
      </c>
      <c r="E13" s="102">
        <f t="shared" si="1"/>
        <v>1.5</v>
      </c>
      <c r="F13" s="102">
        <f t="shared" si="2"/>
        <v>2.91</v>
      </c>
      <c r="G13" s="102">
        <f t="shared" si="3"/>
        <v>2.5</v>
      </c>
      <c r="H13" s="102">
        <f t="shared" si="4"/>
        <v>2.1</v>
      </c>
      <c r="I13" s="102">
        <v>1.61</v>
      </c>
      <c r="J13" s="102">
        <f t="shared" si="5"/>
        <v>15.277500000000002</v>
      </c>
      <c r="K13" s="105">
        <f t="shared" si="6"/>
        <v>11.572500000000002</v>
      </c>
    </row>
    <row r="14" spans="1:11" ht="14" x14ac:dyDescent="0.3">
      <c r="A14" s="104" t="s">
        <v>187</v>
      </c>
      <c r="B14" s="102" t="s">
        <v>175</v>
      </c>
      <c r="C14" s="102">
        <f t="shared" si="0"/>
        <v>1.8</v>
      </c>
      <c r="D14" s="102">
        <v>1.9</v>
      </c>
      <c r="E14" s="102">
        <f t="shared" si="1"/>
        <v>2</v>
      </c>
      <c r="F14" s="102">
        <f t="shared" si="2"/>
        <v>2.2999999999999998</v>
      </c>
      <c r="G14" s="102">
        <f t="shared" si="3"/>
        <v>2.5</v>
      </c>
      <c r="H14" s="102">
        <f t="shared" si="4"/>
        <v>2.6</v>
      </c>
      <c r="I14" s="102">
        <v>0.5</v>
      </c>
      <c r="J14" s="102">
        <f t="shared" si="5"/>
        <v>14.950000000000001</v>
      </c>
      <c r="K14" s="105">
        <f t="shared" si="6"/>
        <v>8.1100000000000012</v>
      </c>
    </row>
    <row r="15" spans="1:11" ht="14" x14ac:dyDescent="0.3">
      <c r="A15" s="104" t="s">
        <v>188</v>
      </c>
      <c r="B15" s="102" t="s">
        <v>175</v>
      </c>
      <c r="C15" s="102">
        <f t="shared" si="0"/>
        <v>1.8</v>
      </c>
      <c r="D15" s="102">
        <v>1.9</v>
      </c>
      <c r="E15" s="102">
        <f t="shared" si="1"/>
        <v>2</v>
      </c>
      <c r="F15" s="102">
        <f t="shared" si="2"/>
        <v>2.2999999999999998</v>
      </c>
      <c r="G15" s="102">
        <f t="shared" si="3"/>
        <v>2.5</v>
      </c>
      <c r="H15" s="102">
        <f t="shared" si="4"/>
        <v>2.6</v>
      </c>
      <c r="I15" s="102">
        <v>0.5</v>
      </c>
      <c r="J15" s="102">
        <f t="shared" si="5"/>
        <v>14.950000000000001</v>
      </c>
      <c r="K15" s="105">
        <f t="shared" si="6"/>
        <v>8.1100000000000012</v>
      </c>
    </row>
    <row r="16" spans="1:11" ht="14" x14ac:dyDescent="0.3">
      <c r="A16" s="104" t="s">
        <v>189</v>
      </c>
      <c r="B16" s="102" t="s">
        <v>175</v>
      </c>
      <c r="C16" s="102">
        <f t="shared" si="0"/>
        <v>1.8</v>
      </c>
      <c r="D16" s="102">
        <v>1.9</v>
      </c>
      <c r="E16" s="102">
        <f t="shared" si="1"/>
        <v>2</v>
      </c>
      <c r="F16" s="102">
        <f t="shared" si="2"/>
        <v>2.33</v>
      </c>
      <c r="G16" s="102">
        <f t="shared" si="3"/>
        <v>2.5</v>
      </c>
      <c r="H16" s="102">
        <f t="shared" si="4"/>
        <v>2.6</v>
      </c>
      <c r="I16" s="102">
        <v>0.53</v>
      </c>
      <c r="J16" s="102">
        <f t="shared" si="5"/>
        <v>15.145000000000001</v>
      </c>
      <c r="K16" s="105">
        <f t="shared" si="6"/>
        <v>8.3050000000000015</v>
      </c>
    </row>
    <row r="17" spans="1:11" ht="14" x14ac:dyDescent="0.3">
      <c r="A17" s="104" t="s">
        <v>190</v>
      </c>
      <c r="B17" s="102" t="s">
        <v>175</v>
      </c>
      <c r="C17" s="102">
        <f t="shared" si="0"/>
        <v>1.8</v>
      </c>
      <c r="D17" s="102">
        <v>1.9</v>
      </c>
      <c r="E17" s="102">
        <f t="shared" si="1"/>
        <v>2</v>
      </c>
      <c r="F17" s="102">
        <f t="shared" si="2"/>
        <v>2.2999999999999998</v>
      </c>
      <c r="G17" s="102">
        <f t="shared" si="3"/>
        <v>2.5</v>
      </c>
      <c r="H17" s="102">
        <f t="shared" si="4"/>
        <v>2.6</v>
      </c>
      <c r="I17" s="102">
        <v>0.5</v>
      </c>
      <c r="J17" s="102">
        <f t="shared" si="5"/>
        <v>14.950000000000001</v>
      </c>
      <c r="K17" s="105">
        <f t="shared" si="6"/>
        <v>8.1100000000000012</v>
      </c>
    </row>
    <row r="18" spans="1:11" ht="14" x14ac:dyDescent="0.3">
      <c r="A18" s="104" t="s">
        <v>217</v>
      </c>
      <c r="B18" s="102" t="s">
        <v>175</v>
      </c>
      <c r="C18" s="102">
        <f t="shared" si="0"/>
        <v>1.8</v>
      </c>
      <c r="D18" s="102">
        <v>1.9</v>
      </c>
      <c r="E18" s="102">
        <f>IF(B18="PVI02",1.3,IF(B18="PVI03",1.4,IF(B18="PVI04",1.5,IF(B18="PVI05",1.7,IF(B18="PVI06",2)))))</f>
        <v>2</v>
      </c>
      <c r="F18" s="102">
        <f>C18+I18</f>
        <v>2.2999999999999998</v>
      </c>
      <c r="G18" s="102">
        <f>D18+0.6</f>
        <v>2.5</v>
      </c>
      <c r="H18" s="102">
        <f>E18+0.6</f>
        <v>2.6</v>
      </c>
      <c r="I18" s="102">
        <v>0.5</v>
      </c>
      <c r="J18" s="102">
        <f>F18*G18*H18</f>
        <v>14.950000000000001</v>
      </c>
      <c r="K18" s="105">
        <f>J18-(C18*D18*E18)</f>
        <v>8.1100000000000012</v>
      </c>
    </row>
    <row r="19" spans="1:11" ht="15.75" customHeight="1" thickBot="1" x14ac:dyDescent="0.35">
      <c r="A19" s="639" t="s">
        <v>170</v>
      </c>
      <c r="B19" s="640"/>
      <c r="C19" s="640"/>
      <c r="D19" s="640"/>
      <c r="E19" s="640"/>
      <c r="F19" s="640"/>
      <c r="G19" s="640"/>
      <c r="H19" s="640"/>
      <c r="I19" s="641"/>
      <c r="J19" s="107">
        <f>SUM(J9:J17)</f>
        <v>128.50749999999999</v>
      </c>
      <c r="K19" s="107">
        <f>SUM(K9:K17)</f>
        <v>82.622500000000016</v>
      </c>
    </row>
    <row r="20" spans="1:11" ht="15.75" customHeight="1" x14ac:dyDescent="0.3">
      <c r="A20" s="388" t="s">
        <v>137</v>
      </c>
      <c r="B20" s="413"/>
      <c r="C20" s="413"/>
      <c r="D20" s="388" t="s">
        <v>138</v>
      </c>
      <c r="E20" s="413"/>
      <c r="F20" s="389"/>
      <c r="G20" s="492" t="s">
        <v>142</v>
      </c>
      <c r="H20" s="493"/>
      <c r="I20" s="493"/>
      <c r="J20" s="493"/>
      <c r="K20" s="494"/>
    </row>
    <row r="21" spans="1:11" ht="15.75" customHeight="1" thickBot="1" x14ac:dyDescent="0.35">
      <c r="A21" s="390"/>
      <c r="B21" s="414"/>
      <c r="C21" s="414"/>
      <c r="D21" s="390"/>
      <c r="E21" s="414"/>
      <c r="F21" s="391"/>
      <c r="G21" s="495"/>
      <c r="H21" s="496"/>
      <c r="I21" s="496"/>
      <c r="J21" s="496"/>
      <c r="K21" s="497"/>
    </row>
    <row r="22" spans="1:11" ht="15.75" customHeight="1" x14ac:dyDescent="0.3">
      <c r="A22" s="462"/>
      <c r="B22" s="463"/>
      <c r="C22" s="463"/>
      <c r="D22" s="462"/>
      <c r="E22" s="463"/>
      <c r="F22" s="464"/>
      <c r="G22" s="498"/>
      <c r="H22" s="499"/>
      <c r="I22" s="499"/>
      <c r="J22" s="499"/>
      <c r="K22" s="500"/>
    </row>
    <row r="23" spans="1:11" ht="15.75" customHeight="1" x14ac:dyDescent="0.3">
      <c r="A23" s="356"/>
      <c r="B23" s="357"/>
      <c r="C23" s="357"/>
      <c r="D23" s="356"/>
      <c r="E23" s="357"/>
      <c r="F23" s="465"/>
      <c r="G23" s="501"/>
      <c r="H23" s="502"/>
      <c r="I23" s="502"/>
      <c r="J23" s="502"/>
      <c r="K23" s="503"/>
    </row>
    <row r="24" spans="1:11" ht="15.75" customHeight="1" x14ac:dyDescent="0.3">
      <c r="A24" s="418" t="s">
        <v>13</v>
      </c>
      <c r="B24" s="419"/>
      <c r="C24" s="419"/>
      <c r="D24" s="483" t="s">
        <v>140</v>
      </c>
      <c r="E24" s="484"/>
      <c r="F24" s="485"/>
      <c r="G24" s="486"/>
      <c r="H24" s="487"/>
      <c r="I24" s="487"/>
      <c r="J24" s="487"/>
      <c r="K24" s="488"/>
    </row>
    <row r="25" spans="1:11" ht="15.75" customHeight="1" thickBot="1" x14ac:dyDescent="0.35">
      <c r="A25" s="400" t="s">
        <v>14</v>
      </c>
      <c r="B25" s="401"/>
      <c r="C25" s="401"/>
      <c r="D25" s="390" t="s">
        <v>139</v>
      </c>
      <c r="E25" s="414"/>
      <c r="F25" s="391"/>
      <c r="G25" s="489"/>
      <c r="H25" s="490"/>
      <c r="I25" s="490"/>
      <c r="J25" s="490"/>
      <c r="K25" s="491"/>
    </row>
    <row r="26" spans="1:11" ht="15.75" customHeight="1" x14ac:dyDescent="0.3">
      <c r="E26" s="12"/>
    </row>
    <row r="27" spans="1:11" ht="15.75" customHeight="1" x14ac:dyDescent="0.3"/>
    <row r="28" spans="1:11" ht="15.75" customHeight="1" x14ac:dyDescent="0.3"/>
    <row r="29" spans="1:11" ht="15.75" customHeight="1" x14ac:dyDescent="0.3"/>
    <row r="30" spans="1:11" ht="15.75" customHeight="1" x14ac:dyDescent="0.3"/>
    <row r="31" spans="1:11" ht="15.75" customHeight="1" x14ac:dyDescent="0.3"/>
    <row r="32" spans="1:1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30">
    <mergeCell ref="J6:J8"/>
    <mergeCell ref="K6:K8"/>
    <mergeCell ref="B1:K1"/>
    <mergeCell ref="B2:K2"/>
    <mergeCell ref="B3:K3"/>
    <mergeCell ref="B4:K4"/>
    <mergeCell ref="A5:K5"/>
    <mergeCell ref="A6:A8"/>
    <mergeCell ref="B6:B8"/>
    <mergeCell ref="C6:C8"/>
    <mergeCell ref="D6:D8"/>
    <mergeCell ref="E6:E8"/>
    <mergeCell ref="A19:I19"/>
    <mergeCell ref="F6:F8"/>
    <mergeCell ref="G6:G8"/>
    <mergeCell ref="H6:H8"/>
    <mergeCell ref="I6:I8"/>
    <mergeCell ref="A20:C21"/>
    <mergeCell ref="D20:F21"/>
    <mergeCell ref="G20:K21"/>
    <mergeCell ref="A22:C23"/>
    <mergeCell ref="D22:F23"/>
    <mergeCell ref="G22:K22"/>
    <mergeCell ref="G23:K23"/>
    <mergeCell ref="A24:C24"/>
    <mergeCell ref="D24:F24"/>
    <mergeCell ref="G24:K24"/>
    <mergeCell ref="A25:C25"/>
    <mergeCell ref="D25:F25"/>
    <mergeCell ref="G25:K25"/>
  </mergeCells>
  <phoneticPr fontId="15" type="noConversion"/>
  <pageMargins left="0.511811024" right="0.511811024" top="1.0237499999999999" bottom="0.92531249999999998" header="0" footer="0"/>
  <pageSetup paperSize="9" fitToHeight="0" orientation="landscape" r:id="rId1"/>
  <headerFooter>
    <oddFooter>&amp;CRua Rui Barbosa, 310 - Centro - Araputanga-MT – Cel: (65) 99613-9294 E-mail: carolina.o.almeida@hotmail.com / escalaprojeta@gmail.com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989"/>
  <sheetViews>
    <sheetView workbookViewId="0">
      <selection activeCell="C27" sqref="C27"/>
    </sheetView>
  </sheetViews>
  <sheetFormatPr defaultColWidth="12.6640625" defaultRowHeight="15" customHeight="1" x14ac:dyDescent="0.3"/>
  <cols>
    <col min="1" max="1" width="11.83203125" customWidth="1"/>
    <col min="2" max="2" width="16.75" customWidth="1"/>
    <col min="3" max="3" width="14.6640625" customWidth="1"/>
    <col min="4" max="4" width="12.5" customWidth="1"/>
    <col min="5" max="5" width="16.5" customWidth="1"/>
    <col min="6" max="6" width="12.5" customWidth="1"/>
    <col min="7" max="7" width="12" customWidth="1"/>
    <col min="8" max="8" width="12.5" customWidth="1"/>
    <col min="9" max="9" width="15.5" hidden="1" customWidth="1"/>
    <col min="10" max="10" width="12.1640625" customWidth="1"/>
    <col min="11" max="11" width="12.33203125" customWidth="1"/>
    <col min="12" max="23" width="7.6640625" customWidth="1"/>
  </cols>
  <sheetData>
    <row r="1" spans="1:11" ht="14" x14ac:dyDescent="0.3">
      <c r="A1" s="56" t="s">
        <v>0</v>
      </c>
      <c r="B1" s="604" t="str">
        <f>PLANILHA!B1</f>
        <v>Construção de rede de drenagem pluvial</v>
      </c>
      <c r="C1" s="502"/>
      <c r="D1" s="502"/>
      <c r="E1" s="502"/>
      <c r="F1" s="502"/>
      <c r="G1" s="502"/>
      <c r="H1" s="502"/>
      <c r="I1" s="502"/>
      <c r="J1" s="502"/>
      <c r="K1" s="502"/>
    </row>
    <row r="2" spans="1:11" ht="14" x14ac:dyDescent="0.3">
      <c r="A2" s="56" t="s">
        <v>1</v>
      </c>
      <c r="B2" s="604" t="str">
        <f>PLANILHA!B2</f>
        <v>Prefeitura Municipal de Indiavaí</v>
      </c>
      <c r="C2" s="502"/>
      <c r="D2" s="502"/>
      <c r="E2" s="502"/>
      <c r="F2" s="502"/>
      <c r="G2" s="502"/>
      <c r="H2" s="502"/>
      <c r="I2" s="502"/>
      <c r="J2" s="502"/>
      <c r="K2" s="502"/>
    </row>
    <row r="3" spans="1:11" ht="14" x14ac:dyDescent="0.3">
      <c r="A3" s="56" t="s">
        <v>2</v>
      </c>
      <c r="B3" s="604" t="str">
        <f>PLANILHA!B3</f>
        <v>Avenida Governador Jayme Campos</v>
      </c>
      <c r="C3" s="502"/>
      <c r="D3" s="502"/>
      <c r="E3" s="502"/>
      <c r="F3" s="502"/>
      <c r="G3" s="502"/>
      <c r="H3" s="502"/>
      <c r="I3" s="502"/>
      <c r="J3" s="502"/>
      <c r="K3" s="502"/>
    </row>
    <row r="4" spans="1:11" ht="14.5" thickBot="1" x14ac:dyDescent="0.35">
      <c r="A4" s="57" t="s">
        <v>3</v>
      </c>
      <c r="B4" s="605" t="str">
        <f>DESCRIÇÃO!B4</f>
        <v>30 de julho de 2021</v>
      </c>
      <c r="C4" s="606"/>
      <c r="D4" s="606"/>
      <c r="E4" s="606"/>
      <c r="F4" s="606"/>
      <c r="G4" s="606"/>
      <c r="H4" s="606"/>
      <c r="I4" s="606"/>
      <c r="J4" s="606"/>
      <c r="K4" s="606"/>
    </row>
    <row r="5" spans="1:11" ht="14.5" thickBot="1" x14ac:dyDescent="0.35">
      <c r="A5" s="607" t="s">
        <v>196</v>
      </c>
      <c r="B5" s="608"/>
      <c r="C5" s="608"/>
      <c r="D5" s="608"/>
      <c r="E5" s="608"/>
      <c r="F5" s="608"/>
      <c r="G5" s="608"/>
      <c r="H5" s="608"/>
      <c r="I5" s="608"/>
      <c r="J5" s="608"/>
      <c r="K5" s="609"/>
    </row>
    <row r="6" spans="1:11" ht="15" customHeight="1" x14ac:dyDescent="0.3">
      <c r="A6" s="614" t="s">
        <v>174</v>
      </c>
      <c r="B6" s="642" t="s">
        <v>191</v>
      </c>
      <c r="C6" s="612" t="s">
        <v>192</v>
      </c>
      <c r="D6" s="610" t="s">
        <v>193</v>
      </c>
      <c r="E6" s="610" t="s">
        <v>194</v>
      </c>
      <c r="F6" s="610" t="s">
        <v>179</v>
      </c>
      <c r="G6" s="610" t="s">
        <v>180</v>
      </c>
      <c r="H6" s="610" t="s">
        <v>181</v>
      </c>
      <c r="I6" s="610" t="s">
        <v>182</v>
      </c>
      <c r="J6" s="610" t="s">
        <v>158</v>
      </c>
      <c r="K6" s="602" t="s">
        <v>159</v>
      </c>
    </row>
    <row r="7" spans="1:11" ht="14.25" customHeight="1" x14ac:dyDescent="0.3">
      <c r="A7" s="615"/>
      <c r="B7" s="635"/>
      <c r="C7" s="613"/>
      <c r="D7" s="611"/>
      <c r="E7" s="611"/>
      <c r="F7" s="611"/>
      <c r="G7" s="611"/>
      <c r="H7" s="611"/>
      <c r="I7" s="611"/>
      <c r="J7" s="611"/>
      <c r="K7" s="603"/>
    </row>
    <row r="8" spans="1:11" ht="36.75" customHeight="1" x14ac:dyDescent="0.3">
      <c r="A8" s="615"/>
      <c r="B8" s="612"/>
      <c r="C8" s="613"/>
      <c r="D8" s="611"/>
      <c r="E8" s="611"/>
      <c r="F8" s="611"/>
      <c r="G8" s="611"/>
      <c r="H8" s="611"/>
      <c r="I8" s="611"/>
      <c r="J8" s="611"/>
      <c r="K8" s="603"/>
    </row>
    <row r="9" spans="1:11" ht="14" x14ac:dyDescent="0.3">
      <c r="A9" s="104" t="s">
        <v>195</v>
      </c>
      <c r="B9" s="102">
        <v>24</v>
      </c>
      <c r="C9" s="102">
        <f>IF(A9="BLS01",1,IF(A9="BLS02",1.5))</f>
        <v>1</v>
      </c>
      <c r="D9" s="102">
        <v>1.4</v>
      </c>
      <c r="E9" s="102">
        <v>1</v>
      </c>
      <c r="F9" s="102">
        <f>C9+0.1</f>
        <v>1.1000000000000001</v>
      </c>
      <c r="G9" s="102">
        <f>D9+0.6</f>
        <v>2</v>
      </c>
      <c r="H9" s="102">
        <f>E9+0.6</f>
        <v>1.6</v>
      </c>
      <c r="I9" s="102">
        <v>0.5</v>
      </c>
      <c r="J9" s="102">
        <f>(F9*G9*H9)*B9</f>
        <v>84.480000000000018</v>
      </c>
      <c r="K9" s="105">
        <f>J9-((C9*D9*E9)*B9)</f>
        <v>50.880000000000024</v>
      </c>
    </row>
    <row r="10" spans="1:11" ht="15.75" customHeight="1" thickBot="1" x14ac:dyDescent="0.35">
      <c r="A10" s="639" t="s">
        <v>170</v>
      </c>
      <c r="B10" s="640"/>
      <c r="C10" s="640"/>
      <c r="D10" s="640"/>
      <c r="E10" s="640"/>
      <c r="F10" s="640"/>
      <c r="G10" s="640"/>
      <c r="H10" s="640"/>
      <c r="I10" s="641"/>
      <c r="J10" s="107">
        <f>SUM(J9:J9)</f>
        <v>84.480000000000018</v>
      </c>
      <c r="K10" s="107">
        <f>SUM(K9:K9)</f>
        <v>50.880000000000024</v>
      </c>
    </row>
    <row r="11" spans="1:11" ht="15.75" customHeight="1" x14ac:dyDescent="0.3">
      <c r="A11" s="388" t="s">
        <v>137</v>
      </c>
      <c r="B11" s="413"/>
      <c r="C11" s="413"/>
      <c r="D11" s="388" t="s">
        <v>138</v>
      </c>
      <c r="E11" s="413"/>
      <c r="F11" s="389"/>
      <c r="G11" s="492" t="s">
        <v>142</v>
      </c>
      <c r="H11" s="493"/>
      <c r="I11" s="493"/>
      <c r="J11" s="493"/>
      <c r="K11" s="494"/>
    </row>
    <row r="12" spans="1:11" ht="15.75" customHeight="1" thickBot="1" x14ac:dyDescent="0.35">
      <c r="A12" s="390"/>
      <c r="B12" s="414"/>
      <c r="C12" s="414"/>
      <c r="D12" s="390"/>
      <c r="E12" s="414"/>
      <c r="F12" s="391"/>
      <c r="G12" s="495"/>
      <c r="H12" s="496"/>
      <c r="I12" s="496"/>
      <c r="J12" s="496"/>
      <c r="K12" s="497"/>
    </row>
    <row r="13" spans="1:11" ht="15.75" customHeight="1" x14ac:dyDescent="0.3">
      <c r="A13" s="462"/>
      <c r="B13" s="463"/>
      <c r="C13" s="463"/>
      <c r="D13" s="462"/>
      <c r="E13" s="463"/>
      <c r="F13" s="464"/>
      <c r="G13" s="498"/>
      <c r="H13" s="499"/>
      <c r="I13" s="499"/>
      <c r="J13" s="499"/>
      <c r="K13" s="500"/>
    </row>
    <row r="14" spans="1:11" ht="15.75" customHeight="1" x14ac:dyDescent="0.3">
      <c r="A14" s="356"/>
      <c r="B14" s="357"/>
      <c r="C14" s="357"/>
      <c r="D14" s="356"/>
      <c r="E14" s="357"/>
      <c r="F14" s="465"/>
      <c r="G14" s="501"/>
      <c r="H14" s="502"/>
      <c r="I14" s="502"/>
      <c r="J14" s="502"/>
      <c r="K14" s="503"/>
    </row>
    <row r="15" spans="1:11" ht="15.75" customHeight="1" x14ac:dyDescent="0.3">
      <c r="A15" s="418" t="s">
        <v>13</v>
      </c>
      <c r="B15" s="419"/>
      <c r="C15" s="419"/>
      <c r="D15" s="483" t="s">
        <v>140</v>
      </c>
      <c r="E15" s="484"/>
      <c r="F15" s="485"/>
      <c r="G15" s="486"/>
      <c r="H15" s="487"/>
      <c r="I15" s="487"/>
      <c r="J15" s="487"/>
      <c r="K15" s="488"/>
    </row>
    <row r="16" spans="1:11" ht="15.75" customHeight="1" thickBot="1" x14ac:dyDescent="0.35">
      <c r="A16" s="400" t="s">
        <v>14</v>
      </c>
      <c r="B16" s="401"/>
      <c r="C16" s="401"/>
      <c r="D16" s="390" t="s">
        <v>139</v>
      </c>
      <c r="E16" s="414"/>
      <c r="F16" s="391"/>
      <c r="G16" s="489"/>
      <c r="H16" s="490"/>
      <c r="I16" s="490"/>
      <c r="J16" s="490"/>
      <c r="K16" s="491"/>
    </row>
    <row r="17" spans="5:5" ht="15.75" customHeight="1" x14ac:dyDescent="0.3">
      <c r="E17" s="12"/>
    </row>
    <row r="18" spans="5:5" ht="15.75" customHeight="1" x14ac:dyDescent="0.3"/>
    <row r="19" spans="5:5" ht="15.75" customHeight="1" x14ac:dyDescent="0.3"/>
    <row r="20" spans="5:5" ht="15.75" customHeight="1" x14ac:dyDescent="0.3"/>
    <row r="21" spans="5:5" ht="15.75" customHeight="1" x14ac:dyDescent="0.3"/>
    <row r="22" spans="5:5" ht="15.75" customHeight="1" x14ac:dyDescent="0.3"/>
    <row r="23" spans="5:5" ht="15.75" customHeight="1" x14ac:dyDescent="0.3"/>
    <row r="24" spans="5:5" ht="15.75" customHeight="1" x14ac:dyDescent="0.3"/>
    <row r="25" spans="5:5" ht="15.75" customHeight="1" x14ac:dyDescent="0.3"/>
    <row r="26" spans="5:5" ht="15.75" customHeight="1" x14ac:dyDescent="0.3"/>
    <row r="27" spans="5:5" ht="15.75" customHeight="1" x14ac:dyDescent="0.3"/>
    <row r="28" spans="5:5" ht="15.75" customHeight="1" x14ac:dyDescent="0.3"/>
    <row r="29" spans="5:5" ht="15.75" customHeight="1" x14ac:dyDescent="0.3"/>
    <row r="30" spans="5:5" ht="15.75" customHeight="1" x14ac:dyDescent="0.3"/>
    <row r="31" spans="5:5" ht="15.75" customHeight="1" x14ac:dyDescent="0.3"/>
    <row r="32" spans="5: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</sheetData>
  <mergeCells count="30">
    <mergeCell ref="K6:K8"/>
    <mergeCell ref="B1:K1"/>
    <mergeCell ref="B2:K2"/>
    <mergeCell ref="B3:K3"/>
    <mergeCell ref="B4:K4"/>
    <mergeCell ref="A5:K5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A10:I10"/>
    <mergeCell ref="A11:C12"/>
    <mergeCell ref="D11:F12"/>
    <mergeCell ref="G11:K12"/>
    <mergeCell ref="A13:C14"/>
    <mergeCell ref="D13:F14"/>
    <mergeCell ref="G13:K13"/>
    <mergeCell ref="G14:K14"/>
    <mergeCell ref="A15:C15"/>
    <mergeCell ref="D15:F15"/>
    <mergeCell ref="G15:K15"/>
    <mergeCell ref="A16:C16"/>
    <mergeCell ref="D16:F16"/>
    <mergeCell ref="G16:K16"/>
  </mergeCells>
  <phoneticPr fontId="15" type="noConversion"/>
  <pageMargins left="0.511811024" right="0.511811024" top="1.0237499999999999" bottom="0.92531249999999998" header="0" footer="0"/>
  <pageSetup paperSize="9" fitToHeight="0" orientation="landscape" r:id="rId1"/>
  <headerFooter>
    <oddFooter>&amp;CRua Rui Barbosa, 310 - Centro - Araputanga-MT – Cel: (65) 99613-9294 E-mail: carolina.o.almeida@hotmail.com / escalaprojeta@gmail.com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1002"/>
  <sheetViews>
    <sheetView workbookViewId="0">
      <selection activeCell="G26" sqref="G26:K26"/>
    </sheetView>
  </sheetViews>
  <sheetFormatPr defaultColWidth="12.6640625" defaultRowHeight="15" customHeight="1" x14ac:dyDescent="0.3"/>
  <cols>
    <col min="1" max="1" width="16.5" customWidth="1"/>
    <col min="2" max="2" width="16.75" customWidth="1"/>
    <col min="3" max="3" width="14.6640625" customWidth="1"/>
    <col min="4" max="4" width="14.25" customWidth="1"/>
    <col min="5" max="5" width="16.5" customWidth="1"/>
    <col min="6" max="6" width="14.33203125" customWidth="1"/>
    <col min="7" max="7" width="12" customWidth="1"/>
    <col min="8" max="8" width="12.5" customWidth="1"/>
    <col min="9" max="9" width="15.5" customWidth="1"/>
    <col min="10" max="10" width="13.83203125" customWidth="1"/>
    <col min="11" max="11" width="11.33203125" customWidth="1"/>
    <col min="12" max="23" width="7.6640625" customWidth="1"/>
  </cols>
  <sheetData>
    <row r="1" spans="1:11" ht="14" x14ac:dyDescent="0.3">
      <c r="A1" s="56" t="s">
        <v>0</v>
      </c>
      <c r="B1" s="604" t="str">
        <f>PLANILHA!B1</f>
        <v>Construção de rede de drenagem pluvial</v>
      </c>
      <c r="C1" s="502"/>
      <c r="D1" s="502"/>
      <c r="E1" s="502"/>
      <c r="F1" s="502"/>
      <c r="G1" s="502"/>
      <c r="H1" s="502"/>
      <c r="I1" s="502"/>
      <c r="J1" s="502"/>
      <c r="K1" s="502"/>
    </row>
    <row r="2" spans="1:11" ht="14" x14ac:dyDescent="0.3">
      <c r="A2" s="56" t="s">
        <v>1</v>
      </c>
      <c r="B2" s="604" t="str">
        <f>PLANILHA!B2</f>
        <v>Prefeitura Municipal de Indiavaí</v>
      </c>
      <c r="C2" s="502"/>
      <c r="D2" s="502"/>
      <c r="E2" s="502"/>
      <c r="F2" s="502"/>
      <c r="G2" s="502"/>
      <c r="H2" s="502"/>
      <c r="I2" s="502"/>
      <c r="J2" s="502"/>
      <c r="K2" s="502"/>
    </row>
    <row r="3" spans="1:11" ht="14" x14ac:dyDescent="0.3">
      <c r="A3" s="56" t="s">
        <v>2</v>
      </c>
      <c r="B3" s="604" t="str">
        <f>PLANILHA!B3</f>
        <v>Avenida Governador Jayme Campos</v>
      </c>
      <c r="C3" s="502"/>
      <c r="D3" s="502"/>
      <c r="E3" s="502"/>
      <c r="F3" s="502"/>
      <c r="G3" s="502"/>
      <c r="H3" s="502"/>
      <c r="I3" s="502"/>
      <c r="J3" s="502"/>
      <c r="K3" s="502"/>
    </row>
    <row r="4" spans="1:11" ht="14.5" thickBot="1" x14ac:dyDescent="0.35">
      <c r="A4" s="57" t="s">
        <v>3</v>
      </c>
      <c r="B4" s="605" t="str">
        <f>DESCRIÇÃO!B4</f>
        <v>30 de julho de 2021</v>
      </c>
      <c r="C4" s="606"/>
      <c r="D4" s="606"/>
      <c r="E4" s="606"/>
      <c r="F4" s="606"/>
      <c r="G4" s="606"/>
      <c r="H4" s="606"/>
      <c r="I4" s="606"/>
      <c r="J4" s="606"/>
      <c r="K4" s="606"/>
    </row>
    <row r="5" spans="1:11" ht="14.5" thickBot="1" x14ac:dyDescent="0.35">
      <c r="A5" s="607" t="s">
        <v>272</v>
      </c>
      <c r="B5" s="608"/>
      <c r="C5" s="608"/>
      <c r="D5" s="608"/>
      <c r="E5" s="608"/>
      <c r="F5" s="608"/>
      <c r="G5" s="608"/>
      <c r="H5" s="608"/>
      <c r="I5" s="608"/>
      <c r="J5" s="608"/>
      <c r="K5" s="609"/>
    </row>
    <row r="6" spans="1:11" ht="14.5" thickBot="1" x14ac:dyDescent="0.35">
      <c r="A6" s="643"/>
      <c r="B6" s="643"/>
      <c r="C6" s="643"/>
      <c r="D6" s="643"/>
      <c r="E6" s="643"/>
      <c r="F6" s="643"/>
      <c r="G6" s="643"/>
      <c r="H6" s="643"/>
      <c r="I6" s="643"/>
      <c r="J6" s="643"/>
      <c r="K6" s="643"/>
    </row>
    <row r="7" spans="1:11" ht="14.5" thickBot="1" x14ac:dyDescent="0.35">
      <c r="A7" s="647" t="s">
        <v>202</v>
      </c>
      <c r="B7" s="648"/>
      <c r="C7" s="648"/>
      <c r="D7" s="648"/>
      <c r="E7" s="648"/>
      <c r="F7" s="649"/>
      <c r="G7" s="108"/>
      <c r="H7" s="108"/>
      <c r="I7" s="108"/>
      <c r="J7" s="108"/>
      <c r="K7" s="108"/>
    </row>
    <row r="8" spans="1:11" ht="15" customHeight="1" x14ac:dyDescent="0.3">
      <c r="A8" s="614" t="s">
        <v>151</v>
      </c>
      <c r="B8" s="612" t="s">
        <v>153</v>
      </c>
      <c r="C8" s="612" t="s">
        <v>191</v>
      </c>
      <c r="D8" s="610" t="s">
        <v>199</v>
      </c>
      <c r="E8" s="610" t="s">
        <v>200</v>
      </c>
      <c r="F8" s="602" t="s">
        <v>201</v>
      </c>
      <c r="G8" s="646"/>
      <c r="H8" s="87"/>
      <c r="I8" s="87"/>
      <c r="J8" s="87"/>
      <c r="K8" s="87"/>
    </row>
    <row r="9" spans="1:11" ht="14.25" customHeight="1" thickBot="1" x14ac:dyDescent="0.35">
      <c r="A9" s="615"/>
      <c r="B9" s="613"/>
      <c r="C9" s="613"/>
      <c r="D9" s="611"/>
      <c r="E9" s="611"/>
      <c r="F9" s="603"/>
      <c r="G9" s="646"/>
      <c r="H9" s="87"/>
      <c r="I9" s="100"/>
      <c r="J9" s="87"/>
      <c r="K9" s="87"/>
    </row>
    <row r="10" spans="1:11" ht="36.75" customHeight="1" x14ac:dyDescent="0.3">
      <c r="A10" s="615"/>
      <c r="B10" s="613"/>
      <c r="C10" s="613"/>
      <c r="D10" s="611"/>
      <c r="E10" s="611"/>
      <c r="F10" s="603"/>
      <c r="G10" s="646"/>
      <c r="H10" s="87"/>
      <c r="I10" s="87"/>
      <c r="J10" s="644" t="s">
        <v>206</v>
      </c>
      <c r="K10" s="645"/>
    </row>
    <row r="11" spans="1:11" ht="14" x14ac:dyDescent="0.3">
      <c r="A11" s="158">
        <v>400</v>
      </c>
      <c r="B11" s="110">
        <f>SUM('CAL VOL. REDE COL.'!C9:C32)</f>
        <v>333.82</v>
      </c>
      <c r="C11" s="110">
        <f>ROUNDUP(B11,0)</f>
        <v>334</v>
      </c>
      <c r="D11" s="110">
        <v>0.1</v>
      </c>
      <c r="E11" s="110">
        <f>D11*C11</f>
        <v>33.4</v>
      </c>
      <c r="F11" s="111">
        <f>E11*$K$12</f>
        <v>1002</v>
      </c>
      <c r="G11" s="103"/>
      <c r="H11" s="87"/>
      <c r="I11" s="87"/>
      <c r="J11" s="117" t="s">
        <v>74</v>
      </c>
      <c r="K11" s="118" t="s">
        <v>207</v>
      </c>
    </row>
    <row r="12" spans="1:11" ht="14" x14ac:dyDescent="0.3">
      <c r="A12" s="158">
        <v>600</v>
      </c>
      <c r="B12" s="110">
        <f>SUM('CAL VERIFICAÇÕES'!D9:D10)</f>
        <v>198</v>
      </c>
      <c r="C12" s="110">
        <f>ROUNDUP(B12,0)</f>
        <v>198</v>
      </c>
      <c r="D12" s="110">
        <v>0.48</v>
      </c>
      <c r="E12" s="110">
        <f>D12*C12</f>
        <v>95.039999999999992</v>
      </c>
      <c r="F12" s="111">
        <f>E12*$K$12</f>
        <v>2851.2</v>
      </c>
      <c r="G12" s="103"/>
      <c r="H12" s="87"/>
      <c r="I12" s="87"/>
      <c r="J12" s="119" t="s">
        <v>205</v>
      </c>
      <c r="K12" s="120">
        <v>30</v>
      </c>
    </row>
    <row r="13" spans="1:11" ht="14" x14ac:dyDescent="0.3">
      <c r="A13" s="158">
        <v>800</v>
      </c>
      <c r="B13" s="110">
        <f>SUM('CAL VERIFICAÇÕES'!D11:D17)</f>
        <v>630</v>
      </c>
      <c r="C13" s="110">
        <f>ROUNDUP(B13,0)</f>
        <v>630</v>
      </c>
      <c r="D13" s="110">
        <v>0.88</v>
      </c>
      <c r="E13" s="110">
        <f>D13*C13</f>
        <v>554.4</v>
      </c>
      <c r="F13" s="111">
        <f>E13*$K$12</f>
        <v>16632</v>
      </c>
      <c r="G13" s="103"/>
      <c r="H13" s="87"/>
      <c r="I13" s="87"/>
      <c r="J13" s="119"/>
      <c r="K13" s="120"/>
    </row>
    <row r="14" spans="1:11" ht="14.5" thickBot="1" x14ac:dyDescent="0.35">
      <c r="A14" s="158">
        <v>1000</v>
      </c>
      <c r="B14" s="110">
        <f>'CALC. DIMEN.'!C18</f>
        <v>79</v>
      </c>
      <c r="C14" s="110">
        <f>ROUNDUP(B14,0)</f>
        <v>79</v>
      </c>
      <c r="D14" s="110">
        <v>1.43</v>
      </c>
      <c r="E14" s="110">
        <f>D14*C14</f>
        <v>112.97</v>
      </c>
      <c r="F14" s="111">
        <f>E14*$K$12</f>
        <v>3389.1</v>
      </c>
      <c r="G14" s="103"/>
      <c r="H14" s="87"/>
      <c r="I14" s="87"/>
      <c r="J14" s="121"/>
      <c r="K14" s="122"/>
    </row>
    <row r="15" spans="1:11" ht="14.5" thickBot="1" x14ac:dyDescent="0.35">
      <c r="A15" s="112">
        <v>1500</v>
      </c>
      <c r="B15" s="114">
        <v>0</v>
      </c>
      <c r="C15" s="114">
        <f>ROUNDUP(B15,0)</f>
        <v>0</v>
      </c>
      <c r="D15" s="114">
        <v>2.6</v>
      </c>
      <c r="E15" s="114">
        <f>D15*C15</f>
        <v>0</v>
      </c>
      <c r="F15" s="115">
        <f>E15*$K$12</f>
        <v>0</v>
      </c>
      <c r="G15" s="103"/>
      <c r="H15" s="87"/>
      <c r="I15" s="87"/>
      <c r="J15" s="87"/>
      <c r="K15" s="87"/>
    </row>
    <row r="16" spans="1:11" ht="14" x14ac:dyDescent="0.3">
      <c r="A16" s="88"/>
      <c r="B16" s="88"/>
      <c r="C16" s="103"/>
      <c r="D16" s="103"/>
      <c r="E16" s="103"/>
      <c r="F16" s="103"/>
      <c r="G16" s="103"/>
      <c r="H16" s="87"/>
      <c r="I16" s="87"/>
      <c r="J16" s="87"/>
      <c r="K16" s="87"/>
    </row>
    <row r="17" spans="1:11" ht="14.5" hidden="1" thickBot="1" x14ac:dyDescent="0.35">
      <c r="A17" s="647" t="s">
        <v>114</v>
      </c>
      <c r="B17" s="648"/>
      <c r="C17" s="648"/>
      <c r="D17" s="649"/>
      <c r="E17" s="109"/>
      <c r="F17" s="109"/>
      <c r="G17" s="108"/>
      <c r="H17" s="108"/>
      <c r="I17" s="108"/>
      <c r="J17" s="108"/>
      <c r="K17" s="108"/>
    </row>
    <row r="18" spans="1:11" ht="15" hidden="1" customHeight="1" x14ac:dyDescent="0.3">
      <c r="A18" s="655" t="s">
        <v>203</v>
      </c>
      <c r="B18" s="610" t="s">
        <v>204</v>
      </c>
      <c r="C18" s="610" t="s">
        <v>200</v>
      </c>
      <c r="D18" s="602" t="s">
        <v>201</v>
      </c>
      <c r="E18" s="646"/>
      <c r="F18" s="87"/>
      <c r="G18" s="87"/>
      <c r="H18" s="87"/>
      <c r="I18" s="87"/>
      <c r="J18" s="87"/>
      <c r="K18" s="87"/>
    </row>
    <row r="19" spans="1:11" ht="14.25" hidden="1" customHeight="1" x14ac:dyDescent="0.3">
      <c r="A19" s="656"/>
      <c r="B19" s="611"/>
      <c r="C19" s="611"/>
      <c r="D19" s="603"/>
      <c r="E19" s="646"/>
      <c r="F19" s="87"/>
      <c r="G19" s="87"/>
      <c r="H19" s="87"/>
      <c r="I19" s="87"/>
      <c r="J19" s="87"/>
      <c r="K19" s="87"/>
    </row>
    <row r="20" spans="1:11" ht="36.75" hidden="1" customHeight="1" x14ac:dyDescent="0.3">
      <c r="A20" s="656"/>
      <c r="B20" s="611"/>
      <c r="C20" s="611"/>
      <c r="D20" s="603"/>
      <c r="E20" s="646"/>
      <c r="F20" s="87"/>
      <c r="G20" s="87"/>
      <c r="H20" s="87"/>
      <c r="I20" s="87"/>
      <c r="J20" s="87"/>
      <c r="K20" s="87"/>
    </row>
    <row r="21" spans="1:11" ht="14.5" hidden="1" thickBot="1" x14ac:dyDescent="0.35">
      <c r="A21" s="116">
        <f>'CÁLCULO DE VOL E ESC REDE PRIN.'!I19+'CAL VOL. REDE COL.'!I33</f>
        <v>131.74380000000002</v>
      </c>
      <c r="B21" s="113">
        <v>1.5</v>
      </c>
      <c r="C21" s="114">
        <f>A21*B21</f>
        <v>197.61570000000003</v>
      </c>
      <c r="D21" s="115">
        <f>C21*K13</f>
        <v>0</v>
      </c>
      <c r="E21" s="103"/>
      <c r="F21" s="87"/>
      <c r="G21" s="87"/>
      <c r="H21" s="87"/>
      <c r="I21" s="87"/>
      <c r="J21" s="87"/>
      <c r="K21" s="87"/>
    </row>
    <row r="22" spans="1:11" ht="14" x14ac:dyDescent="0.3">
      <c r="A22" s="103"/>
      <c r="B22" s="88"/>
      <c r="C22" s="103"/>
      <c r="D22" s="103"/>
      <c r="E22" s="103"/>
      <c r="F22" s="87"/>
      <c r="G22" s="87"/>
      <c r="H22" s="87"/>
      <c r="I22" s="87"/>
      <c r="J22" s="87"/>
      <c r="K22" s="87"/>
    </row>
    <row r="23" spans="1:11" ht="15.75" customHeight="1" thickBot="1" x14ac:dyDescent="0.35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</row>
    <row r="24" spans="1:11" ht="15.75" customHeight="1" x14ac:dyDescent="0.3">
      <c r="A24" s="658" t="s">
        <v>137</v>
      </c>
      <c r="B24" s="659"/>
      <c r="C24" s="659"/>
      <c r="D24" s="659" t="s">
        <v>138</v>
      </c>
      <c r="E24" s="659"/>
      <c r="F24" s="659"/>
      <c r="G24" s="662" t="s">
        <v>142</v>
      </c>
      <c r="H24" s="662"/>
      <c r="I24" s="662"/>
      <c r="J24" s="662"/>
      <c r="K24" s="663"/>
    </row>
    <row r="25" spans="1:11" ht="15.75" customHeight="1" x14ac:dyDescent="0.3">
      <c r="A25" s="660"/>
      <c r="B25" s="661"/>
      <c r="C25" s="661"/>
      <c r="D25" s="661"/>
      <c r="E25" s="661"/>
      <c r="F25" s="661"/>
      <c r="G25" s="664"/>
      <c r="H25" s="664"/>
      <c r="I25" s="664"/>
      <c r="J25" s="664"/>
      <c r="K25" s="665"/>
    </row>
    <row r="26" spans="1:11" ht="15.75" customHeight="1" x14ac:dyDescent="0.3">
      <c r="A26" s="331"/>
      <c r="B26" s="330"/>
      <c r="C26" s="330"/>
      <c r="D26" s="330"/>
      <c r="E26" s="330"/>
      <c r="F26" s="330"/>
      <c r="G26" s="651" t="s">
        <v>274</v>
      </c>
      <c r="H26" s="652"/>
      <c r="I26" s="652"/>
      <c r="J26" s="652"/>
      <c r="K26" s="653"/>
    </row>
    <row r="27" spans="1:11" ht="15.75" customHeight="1" x14ac:dyDescent="0.3">
      <c r="A27" s="331"/>
      <c r="B27" s="330"/>
      <c r="C27" s="330"/>
      <c r="D27" s="330"/>
      <c r="E27" s="330"/>
      <c r="F27" s="330"/>
      <c r="G27" s="654"/>
      <c r="H27" s="630"/>
      <c r="I27" s="630"/>
      <c r="J27" s="630"/>
      <c r="K27" s="631"/>
    </row>
    <row r="28" spans="1:11" ht="15.75" customHeight="1" x14ac:dyDescent="0.3">
      <c r="A28" s="667" t="s">
        <v>13</v>
      </c>
      <c r="B28" s="668"/>
      <c r="C28" s="668"/>
      <c r="D28" s="661" t="s">
        <v>140</v>
      </c>
      <c r="E28" s="661"/>
      <c r="F28" s="661"/>
      <c r="G28" s="654"/>
      <c r="H28" s="630"/>
      <c r="I28" s="630"/>
      <c r="J28" s="630"/>
      <c r="K28" s="631"/>
    </row>
    <row r="29" spans="1:11" ht="15.75" customHeight="1" thickBot="1" x14ac:dyDescent="0.35">
      <c r="A29" s="669" t="s">
        <v>14</v>
      </c>
      <c r="B29" s="670"/>
      <c r="C29" s="670"/>
      <c r="D29" s="657" t="s">
        <v>139</v>
      </c>
      <c r="E29" s="657"/>
      <c r="F29" s="657"/>
      <c r="G29" s="666"/>
      <c r="H29" s="414"/>
      <c r="I29" s="414"/>
      <c r="J29" s="414"/>
      <c r="K29" s="391"/>
    </row>
    <row r="30" spans="1:11" ht="15.75" customHeight="1" x14ac:dyDescent="0.3">
      <c r="E30" s="12"/>
    </row>
    <row r="31" spans="1:11" ht="15.75" customHeight="1" x14ac:dyDescent="0.3"/>
    <row r="32" spans="1:1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35">
    <mergeCell ref="B1:K1"/>
    <mergeCell ref="B2:K2"/>
    <mergeCell ref="B3:K3"/>
    <mergeCell ref="B4:K4"/>
    <mergeCell ref="A5:K5"/>
    <mergeCell ref="D29:F29"/>
    <mergeCell ref="A24:C25"/>
    <mergeCell ref="D24:F25"/>
    <mergeCell ref="G24:K25"/>
    <mergeCell ref="A26:C27"/>
    <mergeCell ref="D26:F27"/>
    <mergeCell ref="G28:K28"/>
    <mergeCell ref="G29:K29"/>
    <mergeCell ref="A28:C28"/>
    <mergeCell ref="D28:F28"/>
    <mergeCell ref="A29:C29"/>
    <mergeCell ref="E18:E20"/>
    <mergeCell ref="A17:D17"/>
    <mergeCell ref="A23:K23"/>
    <mergeCell ref="G26:K26"/>
    <mergeCell ref="G27:K27"/>
    <mergeCell ref="A18:A20"/>
    <mergeCell ref="B18:B20"/>
    <mergeCell ref="C18:C20"/>
    <mergeCell ref="D18:D20"/>
    <mergeCell ref="A6:K6"/>
    <mergeCell ref="J10:K10"/>
    <mergeCell ref="G8:G10"/>
    <mergeCell ref="A8:A10"/>
    <mergeCell ref="C8:C10"/>
    <mergeCell ref="D8:D10"/>
    <mergeCell ref="E8:E10"/>
    <mergeCell ref="F8:F10"/>
    <mergeCell ref="B8:B10"/>
    <mergeCell ref="A7:F7"/>
  </mergeCells>
  <pageMargins left="0.511811024" right="0.511811024" top="1.0237499999999999" bottom="0.92531249999999998" header="0" footer="0"/>
  <pageSetup paperSize="9" scale="79" fitToHeight="0" orientation="landscape" r:id="rId1"/>
  <headerFooter>
    <oddFooter>&amp;CRua Rui Barbosa, 310 - Centro - Araputanga-MT – Cel: (65) 99613-9294 E-mail: carolina.o.almeida@hotmail.com / escalaprojeta@gmail.com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02"/>
  <sheetViews>
    <sheetView workbookViewId="0">
      <selection activeCell="I11" sqref="I11"/>
    </sheetView>
  </sheetViews>
  <sheetFormatPr defaultColWidth="12.6640625" defaultRowHeight="15" customHeight="1" x14ac:dyDescent="0.3"/>
  <cols>
    <col min="1" max="1" width="16.5" customWidth="1"/>
    <col min="2" max="2" width="16.75" customWidth="1"/>
    <col min="3" max="3" width="14.6640625" customWidth="1"/>
    <col min="4" max="4" width="14.25" customWidth="1"/>
    <col min="5" max="5" width="16.5" customWidth="1"/>
    <col min="6" max="6" width="14.33203125" customWidth="1"/>
    <col min="7" max="7" width="12" customWidth="1"/>
    <col min="8" max="8" width="12.5" customWidth="1"/>
    <col min="9" max="9" width="15.5" customWidth="1"/>
    <col min="10" max="10" width="13.83203125" customWidth="1"/>
    <col min="11" max="11" width="11.33203125" customWidth="1"/>
    <col min="12" max="23" width="7.6640625" customWidth="1"/>
  </cols>
  <sheetData>
    <row r="1" spans="1:11" ht="14" x14ac:dyDescent="0.3">
      <c r="A1" s="56" t="s">
        <v>0</v>
      </c>
      <c r="B1" s="604" t="str">
        <f>PLANILHA!B1</f>
        <v>Construção de rede de drenagem pluvial</v>
      </c>
      <c r="C1" s="502"/>
      <c r="D1" s="502"/>
      <c r="E1" s="502"/>
      <c r="F1" s="502"/>
      <c r="G1" s="502"/>
      <c r="H1" s="502"/>
      <c r="I1" s="502"/>
      <c r="J1" s="502"/>
      <c r="K1" s="502"/>
    </row>
    <row r="2" spans="1:11" ht="14" x14ac:dyDescent="0.3">
      <c r="A2" s="56" t="s">
        <v>1</v>
      </c>
      <c r="B2" s="604" t="str">
        <f>PLANILHA!B2</f>
        <v>Prefeitura Municipal de Indiavaí</v>
      </c>
      <c r="C2" s="502"/>
      <c r="D2" s="502"/>
      <c r="E2" s="502"/>
      <c r="F2" s="502"/>
      <c r="G2" s="502"/>
      <c r="H2" s="502"/>
      <c r="I2" s="502"/>
      <c r="J2" s="502"/>
      <c r="K2" s="502"/>
    </row>
    <row r="3" spans="1:11" ht="14" x14ac:dyDescent="0.3">
      <c r="A3" s="56" t="s">
        <v>2</v>
      </c>
      <c r="B3" s="604" t="str">
        <f>PLANILHA!B3</f>
        <v>Avenida Governador Jayme Campos</v>
      </c>
      <c r="C3" s="502"/>
      <c r="D3" s="502"/>
      <c r="E3" s="502"/>
      <c r="F3" s="502"/>
      <c r="G3" s="502"/>
      <c r="H3" s="502"/>
      <c r="I3" s="502"/>
      <c r="J3" s="502"/>
      <c r="K3" s="502"/>
    </row>
    <row r="4" spans="1:11" ht="14.5" thickBot="1" x14ac:dyDescent="0.35">
      <c r="A4" s="57" t="s">
        <v>3</v>
      </c>
      <c r="B4" s="605" t="str">
        <f>DESCRIÇÃO!B4</f>
        <v>30 de julho de 2021</v>
      </c>
      <c r="C4" s="606"/>
      <c r="D4" s="606"/>
      <c r="E4" s="606"/>
      <c r="F4" s="606"/>
      <c r="G4" s="606"/>
      <c r="H4" s="606"/>
      <c r="I4" s="606"/>
      <c r="J4" s="606"/>
      <c r="K4" s="606"/>
    </row>
    <row r="5" spans="1:11" ht="14.5" thickBot="1" x14ac:dyDescent="0.35">
      <c r="A5" s="607" t="s">
        <v>273</v>
      </c>
      <c r="B5" s="608"/>
      <c r="C5" s="608"/>
      <c r="D5" s="608"/>
      <c r="E5" s="608"/>
      <c r="F5" s="608"/>
      <c r="G5" s="608"/>
      <c r="H5" s="608"/>
      <c r="I5" s="608"/>
      <c r="J5" s="608"/>
      <c r="K5" s="609"/>
    </row>
    <row r="6" spans="1:11" ht="14.5" thickBot="1" x14ac:dyDescent="0.35">
      <c r="A6" s="643"/>
      <c r="B6" s="643"/>
      <c r="C6" s="643"/>
      <c r="D6" s="643"/>
      <c r="E6" s="643"/>
      <c r="F6" s="643"/>
      <c r="G6" s="643"/>
      <c r="H6" s="643"/>
      <c r="I6" s="643"/>
      <c r="J6" s="643"/>
      <c r="K6" s="643"/>
    </row>
    <row r="7" spans="1:11" ht="14.5" thickBot="1" x14ac:dyDescent="0.35">
      <c r="A7" s="647" t="s">
        <v>202</v>
      </c>
      <c r="B7" s="648"/>
      <c r="C7" s="648"/>
      <c r="D7" s="648"/>
      <c r="E7" s="648"/>
      <c r="F7" s="649"/>
      <c r="G7" s="108"/>
      <c r="H7" s="108"/>
      <c r="I7" s="108"/>
      <c r="J7" s="108"/>
      <c r="K7" s="108"/>
    </row>
    <row r="8" spans="1:11" ht="15" customHeight="1" x14ac:dyDescent="0.3">
      <c r="A8" s="614" t="s">
        <v>151</v>
      </c>
      <c r="B8" s="612" t="s">
        <v>153</v>
      </c>
      <c r="C8" s="612" t="s">
        <v>191</v>
      </c>
      <c r="D8" s="610" t="s">
        <v>199</v>
      </c>
      <c r="E8" s="610" t="s">
        <v>200</v>
      </c>
      <c r="F8" s="602" t="s">
        <v>201</v>
      </c>
      <c r="G8" s="646"/>
      <c r="H8" s="87"/>
      <c r="I8" s="87"/>
      <c r="J8" s="87"/>
      <c r="K8" s="87"/>
    </row>
    <row r="9" spans="1:11" ht="14.25" customHeight="1" thickBot="1" x14ac:dyDescent="0.35">
      <c r="A9" s="615"/>
      <c r="B9" s="613"/>
      <c r="C9" s="613"/>
      <c r="D9" s="611"/>
      <c r="E9" s="611"/>
      <c r="F9" s="603"/>
      <c r="G9" s="646"/>
      <c r="H9" s="87"/>
      <c r="I9" s="100"/>
      <c r="J9" s="87"/>
      <c r="K9" s="87"/>
    </row>
    <row r="10" spans="1:11" ht="36.75" customHeight="1" x14ac:dyDescent="0.3">
      <c r="A10" s="615"/>
      <c r="B10" s="613"/>
      <c r="C10" s="613"/>
      <c r="D10" s="611"/>
      <c r="E10" s="611"/>
      <c r="F10" s="603"/>
      <c r="G10" s="646"/>
      <c r="H10" s="87"/>
      <c r="I10" s="87"/>
      <c r="J10" s="644" t="s">
        <v>206</v>
      </c>
      <c r="K10" s="645"/>
    </row>
    <row r="11" spans="1:11" ht="14" x14ac:dyDescent="0.3">
      <c r="A11" s="158">
        <v>400</v>
      </c>
      <c r="B11" s="110">
        <f>SUM('CAL VOL. REDE COL.'!C9:C32)</f>
        <v>333.82</v>
      </c>
      <c r="C11" s="110">
        <f>ROUNDUP(B11,0)</f>
        <v>334</v>
      </c>
      <c r="D11" s="110">
        <v>0.1</v>
      </c>
      <c r="E11" s="110">
        <f>D11*C11</f>
        <v>33.4</v>
      </c>
      <c r="F11" s="111">
        <f>E11*$K$12</f>
        <v>1436.2</v>
      </c>
      <c r="G11" s="103"/>
      <c r="H11" s="87"/>
      <c r="I11" s="87"/>
      <c r="J11" s="117" t="s">
        <v>74</v>
      </c>
      <c r="K11" s="118" t="s">
        <v>207</v>
      </c>
    </row>
    <row r="12" spans="1:11" ht="14" x14ac:dyDescent="0.3">
      <c r="A12" s="158">
        <v>600</v>
      </c>
      <c r="B12" s="110">
        <f>SUM('CAL VERIFICAÇÕES'!D9:D10)</f>
        <v>198</v>
      </c>
      <c r="C12" s="110">
        <f>ROUNDUP(B12,0)</f>
        <v>198</v>
      </c>
      <c r="D12" s="110">
        <v>0.48</v>
      </c>
      <c r="E12" s="110">
        <f>D12*C12</f>
        <v>95.039999999999992</v>
      </c>
      <c r="F12" s="111">
        <f>E12*$K$12</f>
        <v>4086.72</v>
      </c>
      <c r="G12" s="103"/>
      <c r="H12" s="87"/>
      <c r="I12" s="87"/>
      <c r="J12" s="119" t="s">
        <v>205</v>
      </c>
      <c r="K12" s="120">
        <v>43</v>
      </c>
    </row>
    <row r="13" spans="1:11" ht="14" x14ac:dyDescent="0.3">
      <c r="A13" s="158">
        <v>800</v>
      </c>
      <c r="B13" s="110">
        <f>SUM('CAL VERIFICAÇÕES'!D11:D17)</f>
        <v>630</v>
      </c>
      <c r="C13" s="110">
        <f>ROUNDUP(B13,0)</f>
        <v>630</v>
      </c>
      <c r="D13" s="110">
        <v>0.88</v>
      </c>
      <c r="E13" s="110">
        <f>D13*C13</f>
        <v>554.4</v>
      </c>
      <c r="F13" s="111">
        <f>E13*$K$12</f>
        <v>23839.200000000001</v>
      </c>
      <c r="G13" s="103"/>
      <c r="H13" s="87"/>
      <c r="I13" s="87"/>
      <c r="J13" s="119"/>
      <c r="K13" s="120"/>
    </row>
    <row r="14" spans="1:11" ht="14.5" thickBot="1" x14ac:dyDescent="0.35">
      <c r="A14" s="158">
        <v>1000</v>
      </c>
      <c r="B14" s="110">
        <f>'CALC. DIMEN.'!C18</f>
        <v>79</v>
      </c>
      <c r="C14" s="110">
        <f>ROUNDUP(B14,0)</f>
        <v>79</v>
      </c>
      <c r="D14" s="110">
        <v>1.43</v>
      </c>
      <c r="E14" s="110">
        <f>D14*C14</f>
        <v>112.97</v>
      </c>
      <c r="F14" s="111">
        <f>E14*$K$12</f>
        <v>4857.71</v>
      </c>
      <c r="G14" s="103"/>
      <c r="H14" s="87"/>
      <c r="I14" s="87"/>
      <c r="J14" s="121"/>
      <c r="K14" s="122"/>
    </row>
    <row r="15" spans="1:11" ht="14.5" thickBot="1" x14ac:dyDescent="0.35">
      <c r="A15" s="112">
        <v>1500</v>
      </c>
      <c r="B15" s="114">
        <v>0</v>
      </c>
      <c r="C15" s="114">
        <f>ROUNDUP(B15,0)</f>
        <v>0</v>
      </c>
      <c r="D15" s="114">
        <v>2.6</v>
      </c>
      <c r="E15" s="114">
        <f>D15*C15</f>
        <v>0</v>
      </c>
      <c r="F15" s="115">
        <f>E15*$K$12</f>
        <v>0</v>
      </c>
      <c r="G15" s="103"/>
      <c r="H15" s="87"/>
      <c r="I15" s="87"/>
      <c r="J15" s="87"/>
      <c r="K15" s="87"/>
    </row>
    <row r="16" spans="1:11" ht="14" x14ac:dyDescent="0.3">
      <c r="A16" s="88"/>
      <c r="B16" s="88"/>
      <c r="C16" s="103"/>
      <c r="D16" s="103"/>
      <c r="E16" s="103"/>
      <c r="F16" s="103"/>
      <c r="G16" s="103"/>
      <c r="H16" s="87"/>
      <c r="I16" s="87"/>
      <c r="J16" s="87"/>
      <c r="K16" s="87"/>
    </row>
    <row r="17" spans="1:11" ht="14.5" hidden="1" thickBot="1" x14ac:dyDescent="0.35">
      <c r="A17" s="647" t="s">
        <v>114</v>
      </c>
      <c r="B17" s="648"/>
      <c r="C17" s="648"/>
      <c r="D17" s="649"/>
      <c r="E17" s="109"/>
      <c r="F17" s="109"/>
      <c r="G17" s="108"/>
      <c r="H17" s="108"/>
      <c r="I17" s="108"/>
      <c r="J17" s="108"/>
      <c r="K17" s="108"/>
    </row>
    <row r="18" spans="1:11" ht="15" hidden="1" customHeight="1" x14ac:dyDescent="0.3">
      <c r="A18" s="655" t="s">
        <v>203</v>
      </c>
      <c r="B18" s="610" t="s">
        <v>204</v>
      </c>
      <c r="C18" s="610" t="s">
        <v>200</v>
      </c>
      <c r="D18" s="602" t="s">
        <v>201</v>
      </c>
      <c r="E18" s="646"/>
      <c r="F18" s="87"/>
      <c r="G18" s="87"/>
      <c r="H18" s="87"/>
      <c r="I18" s="87"/>
      <c r="J18" s="87"/>
      <c r="K18" s="87"/>
    </row>
    <row r="19" spans="1:11" ht="14.25" hidden="1" customHeight="1" x14ac:dyDescent="0.3">
      <c r="A19" s="656"/>
      <c r="B19" s="611"/>
      <c r="C19" s="611"/>
      <c r="D19" s="603"/>
      <c r="E19" s="646"/>
      <c r="F19" s="87"/>
      <c r="G19" s="87"/>
      <c r="H19" s="87"/>
      <c r="I19" s="87"/>
      <c r="J19" s="87"/>
      <c r="K19" s="87"/>
    </row>
    <row r="20" spans="1:11" ht="36.75" hidden="1" customHeight="1" x14ac:dyDescent="0.3">
      <c r="A20" s="656"/>
      <c r="B20" s="611"/>
      <c r="C20" s="611"/>
      <c r="D20" s="603"/>
      <c r="E20" s="646"/>
      <c r="F20" s="87"/>
      <c r="G20" s="87"/>
      <c r="H20" s="87"/>
      <c r="I20" s="87"/>
      <c r="J20" s="87"/>
      <c r="K20" s="87"/>
    </row>
    <row r="21" spans="1:11" ht="14.5" hidden="1" thickBot="1" x14ac:dyDescent="0.35">
      <c r="A21" s="116">
        <f>'CÁLCULO DE VOL E ESC REDE PRIN.'!I19+'CAL VOL. REDE COL.'!I33</f>
        <v>131.74380000000002</v>
      </c>
      <c r="B21" s="113">
        <v>1.5</v>
      </c>
      <c r="C21" s="114">
        <f>A21*B21</f>
        <v>197.61570000000003</v>
      </c>
      <c r="D21" s="115">
        <f>C21*K13</f>
        <v>0</v>
      </c>
      <c r="E21" s="103"/>
      <c r="F21" s="87"/>
      <c r="G21" s="87"/>
      <c r="H21" s="87"/>
      <c r="I21" s="87"/>
      <c r="J21" s="87"/>
      <c r="K21" s="87"/>
    </row>
    <row r="22" spans="1:11" ht="14" hidden="1" x14ac:dyDescent="0.3">
      <c r="A22" s="103"/>
      <c r="B22" s="88"/>
      <c r="C22" s="103"/>
      <c r="D22" s="103"/>
      <c r="E22" s="103"/>
      <c r="F22" s="87"/>
      <c r="G22" s="87"/>
      <c r="H22" s="87"/>
      <c r="I22" s="87"/>
      <c r="J22" s="87"/>
      <c r="K22" s="87"/>
    </row>
    <row r="23" spans="1:11" ht="15.75" customHeight="1" thickBot="1" x14ac:dyDescent="0.35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</row>
    <row r="24" spans="1:11" ht="15.75" customHeight="1" x14ac:dyDescent="0.3">
      <c r="A24" s="658" t="s">
        <v>137</v>
      </c>
      <c r="B24" s="659"/>
      <c r="C24" s="659"/>
      <c r="D24" s="659" t="s">
        <v>138</v>
      </c>
      <c r="E24" s="659"/>
      <c r="F24" s="659"/>
      <c r="G24" s="662" t="s">
        <v>142</v>
      </c>
      <c r="H24" s="662"/>
      <c r="I24" s="662"/>
      <c r="J24" s="662"/>
      <c r="K24" s="663"/>
    </row>
    <row r="25" spans="1:11" ht="15.75" customHeight="1" x14ac:dyDescent="0.3">
      <c r="A25" s="660"/>
      <c r="B25" s="661"/>
      <c r="C25" s="661"/>
      <c r="D25" s="661"/>
      <c r="E25" s="661"/>
      <c r="F25" s="661"/>
      <c r="G25" s="664"/>
      <c r="H25" s="664"/>
      <c r="I25" s="664"/>
      <c r="J25" s="664"/>
      <c r="K25" s="665"/>
    </row>
    <row r="26" spans="1:11" ht="15.75" customHeight="1" x14ac:dyDescent="0.3">
      <c r="A26" s="331"/>
      <c r="B26" s="330"/>
      <c r="C26" s="330"/>
      <c r="D26" s="330"/>
      <c r="E26" s="330"/>
      <c r="F26" s="330"/>
      <c r="G26" s="651" t="s">
        <v>274</v>
      </c>
      <c r="H26" s="652"/>
      <c r="I26" s="652"/>
      <c r="J26" s="652"/>
      <c r="K26" s="653"/>
    </row>
    <row r="27" spans="1:11" ht="15.75" customHeight="1" x14ac:dyDescent="0.3">
      <c r="A27" s="331"/>
      <c r="B27" s="330"/>
      <c r="C27" s="330"/>
      <c r="D27" s="330"/>
      <c r="E27" s="330"/>
      <c r="F27" s="330"/>
      <c r="G27" s="654"/>
      <c r="H27" s="630"/>
      <c r="I27" s="630"/>
      <c r="J27" s="630"/>
      <c r="K27" s="631"/>
    </row>
    <row r="28" spans="1:11" ht="15.75" customHeight="1" x14ac:dyDescent="0.3">
      <c r="A28" s="667" t="s">
        <v>13</v>
      </c>
      <c r="B28" s="668"/>
      <c r="C28" s="668"/>
      <c r="D28" s="661" t="s">
        <v>140</v>
      </c>
      <c r="E28" s="661"/>
      <c r="F28" s="661"/>
      <c r="G28" s="654"/>
      <c r="H28" s="630"/>
      <c r="I28" s="630"/>
      <c r="J28" s="630"/>
      <c r="K28" s="631"/>
    </row>
    <row r="29" spans="1:11" ht="15.75" customHeight="1" thickBot="1" x14ac:dyDescent="0.35">
      <c r="A29" s="669" t="s">
        <v>14</v>
      </c>
      <c r="B29" s="670"/>
      <c r="C29" s="670"/>
      <c r="D29" s="657" t="s">
        <v>139</v>
      </c>
      <c r="E29" s="657"/>
      <c r="F29" s="657"/>
      <c r="G29" s="666"/>
      <c r="H29" s="414"/>
      <c r="I29" s="414"/>
      <c r="J29" s="414"/>
      <c r="K29" s="391"/>
    </row>
    <row r="30" spans="1:11" ht="15.75" customHeight="1" x14ac:dyDescent="0.3">
      <c r="E30" s="12"/>
    </row>
    <row r="31" spans="1:11" ht="15.75" customHeight="1" x14ac:dyDescent="0.3"/>
    <row r="32" spans="1:1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35">
    <mergeCell ref="A6:K6"/>
    <mergeCell ref="G26:K26"/>
    <mergeCell ref="G27:K27"/>
    <mergeCell ref="G28:K28"/>
    <mergeCell ref="G29:K29"/>
    <mergeCell ref="A7:F7"/>
    <mergeCell ref="A8:A10"/>
    <mergeCell ref="B8:B10"/>
    <mergeCell ref="C8:C10"/>
    <mergeCell ref="D8:D10"/>
    <mergeCell ref="E8:E10"/>
    <mergeCell ref="F8:F10"/>
    <mergeCell ref="G8:G10"/>
    <mergeCell ref="J10:K10"/>
    <mergeCell ref="A17:D17"/>
    <mergeCell ref="A18:A20"/>
    <mergeCell ref="B1:K1"/>
    <mergeCell ref="B2:K2"/>
    <mergeCell ref="B3:K3"/>
    <mergeCell ref="B4:K4"/>
    <mergeCell ref="A5:K5"/>
    <mergeCell ref="B18:B20"/>
    <mergeCell ref="C18:C20"/>
    <mergeCell ref="D18:D20"/>
    <mergeCell ref="E18:E20"/>
    <mergeCell ref="D29:F29"/>
    <mergeCell ref="A23:K23"/>
    <mergeCell ref="A24:C25"/>
    <mergeCell ref="D24:F25"/>
    <mergeCell ref="G24:K25"/>
    <mergeCell ref="A26:C27"/>
    <mergeCell ref="D26:F27"/>
    <mergeCell ref="A28:C28"/>
    <mergeCell ref="D28:F28"/>
    <mergeCell ref="A29:C29"/>
  </mergeCells>
  <pageMargins left="0.511811024" right="0.511811024" top="1.0237499999999999" bottom="0.92531249999999998" header="0" footer="0"/>
  <pageSetup paperSize="9" scale="79" fitToHeight="0" orientation="landscape" r:id="rId1"/>
  <headerFooter>
    <oddFooter>&amp;CRua Rui Barbosa, 310 - Centro - Araputanga-MT – Cel: (65) 99613-9294 E-mail: carolina.o.almeida@hotmail.com / escalaprojeta@gmail.com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992"/>
  <sheetViews>
    <sheetView view="pageBreakPreview" zoomScaleNormal="100" zoomScaleSheetLayoutView="100" workbookViewId="0">
      <selection activeCell="G10" sqref="G10"/>
    </sheetView>
  </sheetViews>
  <sheetFormatPr defaultColWidth="12.6640625" defaultRowHeight="15" customHeight="1" x14ac:dyDescent="0.3"/>
  <cols>
    <col min="1" max="1" width="8"/>
    <col min="2" max="2" width="35.83203125" customWidth="1"/>
    <col min="3" max="3" width="13" customWidth="1"/>
    <col min="4" max="4" width="15.33203125" customWidth="1"/>
    <col min="5" max="5" width="7.6640625" customWidth="1"/>
    <col min="6" max="6" width="11.33203125" customWidth="1"/>
    <col min="7" max="26" width="7.6640625" customWidth="1"/>
  </cols>
  <sheetData>
    <row r="1" spans="1:4" ht="15" customHeight="1" thickBot="1" x14ac:dyDescent="0.35">
      <c r="A1" s="607" t="s">
        <v>275</v>
      </c>
      <c r="B1" s="608"/>
      <c r="C1" s="608"/>
      <c r="D1" s="609"/>
    </row>
    <row r="2" spans="1:4" ht="15" customHeight="1" thickBot="1" x14ac:dyDescent="0.35">
      <c r="A2" s="134"/>
      <c r="B2" s="87"/>
      <c r="C2" s="87"/>
      <c r="D2" s="135"/>
    </row>
    <row r="3" spans="1:4" ht="15" customHeight="1" x14ac:dyDescent="0.3">
      <c r="A3" s="671" t="s">
        <v>304</v>
      </c>
      <c r="B3" s="672"/>
      <c r="C3" s="673"/>
      <c r="D3" s="218" t="s">
        <v>86</v>
      </c>
    </row>
    <row r="4" spans="1:4" ht="15" customHeight="1" x14ac:dyDescent="0.3">
      <c r="A4" s="680" t="s">
        <v>306</v>
      </c>
      <c r="B4" s="681"/>
      <c r="C4" s="682"/>
      <c r="D4" s="219">
        <v>0.04</v>
      </c>
    </row>
    <row r="5" spans="1:4" ht="15" customHeight="1" x14ac:dyDescent="0.3">
      <c r="A5" s="680" t="s">
        <v>305</v>
      </c>
      <c r="B5" s="681"/>
      <c r="C5" s="682" t="s">
        <v>30</v>
      </c>
      <c r="D5" s="219">
        <v>1.23E-2</v>
      </c>
    </row>
    <row r="6" spans="1:4" ht="15" customHeight="1" x14ac:dyDescent="0.3">
      <c r="A6" s="680" t="s">
        <v>314</v>
      </c>
      <c r="B6" s="681"/>
      <c r="C6" s="682" t="s">
        <v>30</v>
      </c>
      <c r="D6" s="219">
        <v>1.2699999999999999E-2</v>
      </c>
    </row>
    <row r="7" spans="1:4" ht="15" customHeight="1" x14ac:dyDescent="0.3">
      <c r="A7" s="680" t="s">
        <v>307</v>
      </c>
      <c r="B7" s="681"/>
      <c r="C7" s="682" t="s">
        <v>30</v>
      </c>
      <c r="D7" s="219">
        <v>8.0000000000000002E-3</v>
      </c>
    </row>
    <row r="8" spans="1:4" ht="15" customHeight="1" thickBot="1" x14ac:dyDescent="0.35">
      <c r="A8" s="677" t="s">
        <v>308</v>
      </c>
      <c r="B8" s="678"/>
      <c r="C8" s="679"/>
      <c r="D8" s="220">
        <f>SUM(D4:D7)</f>
        <v>7.3000000000000009E-2</v>
      </c>
    </row>
    <row r="9" spans="1:4" ht="15" customHeight="1" x14ac:dyDescent="0.3">
      <c r="A9" s="671" t="s">
        <v>309</v>
      </c>
      <c r="B9" s="672"/>
      <c r="C9" s="673"/>
      <c r="D9" s="218" t="s">
        <v>86</v>
      </c>
    </row>
    <row r="10" spans="1:4" ht="15" customHeight="1" x14ac:dyDescent="0.3">
      <c r="A10" s="680" t="s">
        <v>310</v>
      </c>
      <c r="B10" s="681"/>
      <c r="C10" s="682"/>
      <c r="D10" s="219">
        <v>7.3999999999999996E-2</v>
      </c>
    </row>
    <row r="11" spans="1:4" ht="15" customHeight="1" thickBot="1" x14ac:dyDescent="0.35">
      <c r="A11" s="677" t="s">
        <v>308</v>
      </c>
      <c r="B11" s="678"/>
      <c r="C11" s="679"/>
      <c r="D11" s="220">
        <f>D10</f>
        <v>7.3999999999999996E-2</v>
      </c>
    </row>
    <row r="12" spans="1:4" ht="15" customHeight="1" x14ac:dyDescent="0.3">
      <c r="A12" s="671" t="s">
        <v>311</v>
      </c>
      <c r="B12" s="672"/>
      <c r="C12" s="673"/>
      <c r="D12" s="218" t="s">
        <v>86</v>
      </c>
    </row>
    <row r="13" spans="1:4" ht="15" customHeight="1" x14ac:dyDescent="0.3">
      <c r="A13" s="680" t="s">
        <v>211</v>
      </c>
      <c r="B13" s="681"/>
      <c r="C13" s="682"/>
      <c r="D13" s="219">
        <v>6.4999999999999997E-3</v>
      </c>
    </row>
    <row r="14" spans="1:4" ht="15" customHeight="1" x14ac:dyDescent="0.3">
      <c r="A14" s="680" t="s">
        <v>312</v>
      </c>
      <c r="B14" s="681"/>
      <c r="C14" s="682"/>
      <c r="D14" s="219">
        <v>0.03</v>
      </c>
    </row>
    <row r="15" spans="1:4" ht="15" customHeight="1" x14ac:dyDescent="0.3">
      <c r="A15" s="680" t="s">
        <v>313</v>
      </c>
      <c r="B15" s="681"/>
      <c r="C15" s="682"/>
      <c r="D15" s="219">
        <v>0.05</v>
      </c>
    </row>
    <row r="16" spans="1:4" ht="15.75" customHeight="1" thickBot="1" x14ac:dyDescent="0.35">
      <c r="A16" s="677" t="s">
        <v>308</v>
      </c>
      <c r="B16" s="678"/>
      <c r="C16" s="679"/>
      <c r="D16" s="220">
        <f>SUM(D13:D15)</f>
        <v>8.6499999999999994E-2</v>
      </c>
    </row>
    <row r="17" spans="1:6" ht="15.75" customHeight="1" thickBot="1" x14ac:dyDescent="0.35">
      <c r="A17" s="683"/>
      <c r="B17" s="684"/>
      <c r="C17" s="684"/>
      <c r="D17" s="685"/>
    </row>
    <row r="18" spans="1:6" ht="15.75" customHeight="1" x14ac:dyDescent="0.3">
      <c r="A18" s="388"/>
      <c r="B18" s="413"/>
      <c r="C18" s="413"/>
      <c r="D18" s="389"/>
    </row>
    <row r="19" spans="1:6" ht="15.75" customHeight="1" x14ac:dyDescent="0.3">
      <c r="A19" s="629"/>
      <c r="B19" s="630"/>
      <c r="C19" s="630"/>
      <c r="D19" s="631"/>
    </row>
    <row r="20" spans="1:6" ht="15.75" customHeight="1" thickBot="1" x14ac:dyDescent="0.35">
      <c r="A20" s="390"/>
      <c r="B20" s="414"/>
      <c r="C20" s="414"/>
      <c r="D20" s="391"/>
    </row>
    <row r="21" spans="1:6" ht="15.75" customHeight="1" thickBot="1" x14ac:dyDescent="0.35">
      <c r="A21" s="385" t="s">
        <v>212</v>
      </c>
      <c r="B21" s="386"/>
      <c r="C21" s="386"/>
      <c r="D21" s="221">
        <f>ROUND((1+D4+D7+D6)*(1+D5)*(1+D11)/(1-D16)-1,4)</f>
        <v>0.26240000000000002</v>
      </c>
      <c r="F21" s="222"/>
    </row>
    <row r="22" spans="1:6" ht="15.75" customHeight="1" x14ac:dyDescent="0.3">
      <c r="A22" s="492" t="s">
        <v>142</v>
      </c>
      <c r="B22" s="493"/>
      <c r="C22" s="493"/>
      <c r="D22" s="494"/>
    </row>
    <row r="23" spans="1:6" ht="15.75" customHeight="1" x14ac:dyDescent="0.35">
      <c r="A23" s="674"/>
      <c r="B23" s="675"/>
      <c r="C23" s="675"/>
      <c r="D23" s="676"/>
      <c r="E23" s="74"/>
    </row>
    <row r="24" spans="1:6" ht="15.75" customHeight="1" x14ac:dyDescent="0.35">
      <c r="A24" s="686" t="s">
        <v>865</v>
      </c>
      <c r="B24" s="632"/>
      <c r="C24" s="632"/>
      <c r="D24" s="687"/>
      <c r="E24" s="74"/>
    </row>
    <row r="25" spans="1:6" ht="15.75" customHeight="1" x14ac:dyDescent="0.35">
      <c r="A25" s="688" t="s">
        <v>316</v>
      </c>
      <c r="B25" s="442"/>
      <c r="C25" s="442"/>
      <c r="D25" s="689"/>
      <c r="E25" s="74"/>
    </row>
    <row r="26" spans="1:6" ht="15.75" customHeight="1" x14ac:dyDescent="0.35">
      <c r="A26" s="690" t="s">
        <v>270</v>
      </c>
      <c r="B26" s="691"/>
      <c r="C26" s="691"/>
      <c r="D26" s="367"/>
      <c r="E26" s="74"/>
    </row>
    <row r="27" spans="1:6" ht="15.75" customHeight="1" x14ac:dyDescent="0.35">
      <c r="A27" s="692"/>
      <c r="B27" s="693"/>
      <c r="C27" s="693"/>
      <c r="D27" s="694"/>
      <c r="E27" s="74"/>
    </row>
    <row r="28" spans="1:6" ht="15.75" customHeight="1" thickBot="1" x14ac:dyDescent="0.4">
      <c r="A28" s="695"/>
      <c r="B28" s="696"/>
      <c r="C28" s="696"/>
      <c r="D28" s="697"/>
      <c r="E28" s="74"/>
    </row>
    <row r="29" spans="1:6" ht="15.75" customHeight="1" x14ac:dyDescent="0.35">
      <c r="A29" s="492" t="s">
        <v>271</v>
      </c>
      <c r="B29" s="698"/>
      <c r="C29" s="698"/>
      <c r="D29" s="699"/>
      <c r="E29" s="74"/>
    </row>
    <row r="30" spans="1:6" ht="15.75" customHeight="1" x14ac:dyDescent="0.35">
      <c r="A30" s="700"/>
      <c r="B30" s="701"/>
      <c r="C30" s="701"/>
      <c r="D30" s="702"/>
      <c r="E30" s="74"/>
    </row>
    <row r="31" spans="1:6" ht="40.5" customHeight="1" x14ac:dyDescent="0.3">
      <c r="A31" s="402"/>
      <c r="B31" s="403"/>
      <c r="C31" s="403"/>
      <c r="D31" s="344"/>
    </row>
    <row r="32" spans="1:6" ht="15.75" customHeight="1" x14ac:dyDescent="0.3">
      <c r="A32" s="418" t="s">
        <v>13</v>
      </c>
      <c r="B32" s="419"/>
      <c r="C32" s="419"/>
      <c r="D32" s="420"/>
    </row>
    <row r="33" spans="1:4" ht="15.75" customHeight="1" thickBot="1" x14ac:dyDescent="0.35">
      <c r="A33" s="400" t="s">
        <v>14</v>
      </c>
      <c r="B33" s="466"/>
      <c r="C33" s="466"/>
      <c r="D33" s="467"/>
    </row>
    <row r="34" spans="1:4" ht="15.75" customHeight="1" x14ac:dyDescent="0.3"/>
    <row r="35" spans="1:4" ht="15.75" customHeight="1" x14ac:dyDescent="0.3"/>
    <row r="36" spans="1:4" ht="15.75" customHeight="1" x14ac:dyDescent="0.3"/>
    <row r="37" spans="1:4" ht="15.75" customHeight="1" x14ac:dyDescent="0.3"/>
    <row r="38" spans="1:4" ht="15.75" customHeight="1" x14ac:dyDescent="0.3"/>
    <row r="39" spans="1:4" ht="15.75" customHeight="1" x14ac:dyDescent="0.3"/>
    <row r="40" spans="1:4" ht="15.75" customHeight="1" x14ac:dyDescent="0.3"/>
    <row r="41" spans="1:4" ht="15.75" customHeight="1" x14ac:dyDescent="0.3"/>
    <row r="42" spans="1:4" ht="15.75" customHeight="1" x14ac:dyDescent="0.3"/>
    <row r="43" spans="1:4" ht="15.75" customHeight="1" x14ac:dyDescent="0.3"/>
    <row r="44" spans="1:4" ht="15.75" customHeight="1" x14ac:dyDescent="0.3"/>
    <row r="45" spans="1:4" ht="15.75" customHeight="1" x14ac:dyDescent="0.3"/>
    <row r="46" spans="1:4" ht="15.75" customHeight="1" x14ac:dyDescent="0.3"/>
    <row r="47" spans="1:4" ht="15.75" customHeight="1" x14ac:dyDescent="0.3"/>
    <row r="48" spans="1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</sheetData>
  <mergeCells count="27">
    <mergeCell ref="A33:D33"/>
    <mergeCell ref="A24:D24"/>
    <mergeCell ref="A25:D25"/>
    <mergeCell ref="A26:D26"/>
    <mergeCell ref="A27:D28"/>
    <mergeCell ref="A29:D30"/>
    <mergeCell ref="A11:C11"/>
    <mergeCell ref="A13:C13"/>
    <mergeCell ref="A14:C14"/>
    <mergeCell ref="A31:D31"/>
    <mergeCell ref="A32:D32"/>
    <mergeCell ref="A1:D1"/>
    <mergeCell ref="A21:C21"/>
    <mergeCell ref="A3:C3"/>
    <mergeCell ref="A22:D23"/>
    <mergeCell ref="A8:C8"/>
    <mergeCell ref="A4:C4"/>
    <mergeCell ref="A5:C5"/>
    <mergeCell ref="A6:C6"/>
    <mergeCell ref="A7:C7"/>
    <mergeCell ref="A17:D17"/>
    <mergeCell ref="A18:D20"/>
    <mergeCell ref="A15:C15"/>
    <mergeCell ref="A16:C16"/>
    <mergeCell ref="A9:C9"/>
    <mergeCell ref="A12:C12"/>
    <mergeCell ref="A10:C10"/>
  </mergeCells>
  <pageMargins left="1.1023622047244095" right="0.51181102362204722" top="1.5354330708661419" bottom="1.1811023622047245" header="0.39370078740157483" footer="0"/>
  <pageSetup paperSize="9" orientation="portrait" r:id="rId1"/>
  <headerFooter>
    <oddHeader>&amp;C&amp;G</oddHeader>
    <oddFooter>&amp;CRua Rui Barbosa, 310 - Centro - Araputanga-MT – Cel: (65) 99613-9294 E-mail: carolina.o.almeida@hotmail.com / escalaprojeta@gmail.com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002"/>
  <sheetViews>
    <sheetView view="pageBreakPreview" zoomScaleNormal="100" zoomScaleSheetLayoutView="100" workbookViewId="0">
      <selection activeCell="G27" sqref="G27:Q27"/>
    </sheetView>
  </sheetViews>
  <sheetFormatPr defaultColWidth="12.6640625" defaultRowHeight="15" customHeight="1" x14ac:dyDescent="0.3"/>
  <cols>
    <col min="1" max="1" width="11.83203125" customWidth="1"/>
    <col min="2" max="2" width="52.25" customWidth="1"/>
    <col min="3" max="3" width="14.5" customWidth="1"/>
    <col min="4" max="4" width="15.33203125" customWidth="1"/>
    <col min="5" max="5" width="13.1640625" customWidth="1"/>
    <col min="6" max="6" width="11.5" customWidth="1"/>
    <col min="7" max="7" width="12.83203125" customWidth="1"/>
    <col min="8" max="8" width="10.25" customWidth="1"/>
    <col min="9" max="9" width="12.5" customWidth="1"/>
    <col min="10" max="10" width="9.25" customWidth="1"/>
    <col min="11" max="11" width="11.33203125" customWidth="1"/>
    <col min="12" max="12" width="9.25" customWidth="1"/>
    <col min="13" max="13" width="12" customWidth="1"/>
    <col min="14" max="14" width="9.25" customWidth="1"/>
    <col min="15" max="15" width="13.25" customWidth="1"/>
    <col min="16" max="16" width="9.25" customWidth="1"/>
    <col min="17" max="17" width="9.5" customWidth="1"/>
    <col min="18" max="18" width="7.6640625" customWidth="1"/>
    <col min="19" max="19" width="17.83203125" customWidth="1"/>
    <col min="20" max="29" width="7.6640625" customWidth="1"/>
  </cols>
  <sheetData>
    <row r="1" spans="1:18" ht="14" x14ac:dyDescent="0.3">
      <c r="A1" s="175" t="s">
        <v>0</v>
      </c>
      <c r="B1" s="442" t="str">
        <f>'PLANILHA ORÇAMENTÁRIA'!B1:F1</f>
        <v>CONSTRUÇÃO DE PÁTIO DA SECRETARIA DE OBRAS MUNICIPAL</v>
      </c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</row>
    <row r="2" spans="1:18" ht="14" x14ac:dyDescent="0.3">
      <c r="A2" s="175" t="s">
        <v>1</v>
      </c>
      <c r="B2" s="442" t="str">
        <f>'PLANILHA ORÇAMENTÁRIA'!B2:F2</f>
        <v>PREFEITURA MUNICIPAL DE ARAPUTANGA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</row>
    <row r="3" spans="1:18" ht="14" x14ac:dyDescent="0.3">
      <c r="A3" s="175" t="s">
        <v>2</v>
      </c>
      <c r="B3" s="442" t="str">
        <f>'PLANILHA ORÇAMENTÁRIA'!B3:F3</f>
        <v>AVENIDA PROJETADA, DISTRITO INDUSTRIAL</v>
      </c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</row>
    <row r="4" spans="1:18" ht="14" x14ac:dyDescent="0.3">
      <c r="A4" s="176" t="s">
        <v>3</v>
      </c>
      <c r="B4" s="703">
        <f ca="1">TODAY()</f>
        <v>45972</v>
      </c>
      <c r="C4" s="557"/>
      <c r="D4" s="557"/>
      <c r="E4" s="557"/>
      <c r="F4" s="557"/>
      <c r="G4" s="557"/>
      <c r="H4" s="557"/>
      <c r="I4" s="557"/>
      <c r="J4" s="557"/>
      <c r="K4" s="557"/>
      <c r="L4" s="557"/>
      <c r="M4" s="557"/>
      <c r="N4" s="557"/>
      <c r="O4" s="557"/>
      <c r="P4" s="557"/>
      <c r="Q4" s="557"/>
    </row>
    <row r="5" spans="1:18" ht="14.5" thickBot="1" x14ac:dyDescent="0.35">
      <c r="A5" s="704" t="s">
        <v>301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705"/>
    </row>
    <row r="6" spans="1:18" ht="14" x14ac:dyDescent="0.3">
      <c r="A6" s="510" t="s">
        <v>74</v>
      </c>
      <c r="B6" s="513" t="s">
        <v>79</v>
      </c>
      <c r="C6" s="516" t="s">
        <v>80</v>
      </c>
      <c r="D6" s="517"/>
      <c r="E6" s="521" t="s">
        <v>81</v>
      </c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Q6" s="522"/>
    </row>
    <row r="7" spans="1:18" ht="14" x14ac:dyDescent="0.3">
      <c r="A7" s="511"/>
      <c r="B7" s="514"/>
      <c r="C7" s="518"/>
      <c r="D7" s="342"/>
      <c r="E7" s="523" t="s">
        <v>296</v>
      </c>
      <c r="F7" s="314"/>
      <c r="G7" s="523" t="s">
        <v>297</v>
      </c>
      <c r="H7" s="314"/>
      <c r="I7" s="523" t="s">
        <v>298</v>
      </c>
      <c r="J7" s="314"/>
      <c r="K7" s="523" t="s">
        <v>317</v>
      </c>
      <c r="L7" s="314"/>
      <c r="M7" s="523" t="s">
        <v>323</v>
      </c>
      <c r="N7" s="314"/>
      <c r="O7" s="523" t="s">
        <v>864</v>
      </c>
      <c r="P7" s="314"/>
      <c r="Q7" s="126" t="s">
        <v>12</v>
      </c>
    </row>
    <row r="8" spans="1:18" ht="14" x14ac:dyDescent="0.3">
      <c r="A8" s="512"/>
      <c r="B8" s="515"/>
      <c r="C8" s="59" t="s">
        <v>85</v>
      </c>
      <c r="D8" s="59" t="s">
        <v>86</v>
      </c>
      <c r="E8" s="59" t="s">
        <v>85</v>
      </c>
      <c r="F8" s="59" t="s">
        <v>86</v>
      </c>
      <c r="G8" s="59" t="s">
        <v>85</v>
      </c>
      <c r="H8" s="59" t="s">
        <v>86</v>
      </c>
      <c r="I8" s="59" t="s">
        <v>85</v>
      </c>
      <c r="J8" s="59" t="s">
        <v>86</v>
      </c>
      <c r="K8" s="59" t="s">
        <v>85</v>
      </c>
      <c r="L8" s="59" t="s">
        <v>86</v>
      </c>
      <c r="M8" s="59" t="s">
        <v>85</v>
      </c>
      <c r="N8" s="59" t="s">
        <v>86</v>
      </c>
      <c r="O8" s="59" t="s">
        <v>85</v>
      </c>
      <c r="P8" s="59" t="s">
        <v>86</v>
      </c>
      <c r="Q8" s="127" t="s">
        <v>86</v>
      </c>
    </row>
    <row r="9" spans="1:18" ht="14" x14ac:dyDescent="0.3">
      <c r="A9" s="128" t="str">
        <f>'DESCRIÇÃO DE ORÇAMENTO'!A8</f>
        <v>1.0</v>
      </c>
      <c r="B9" s="58" t="str">
        <f>'DESCRIÇÃO DE ORÇAMENTO'!B8:E8</f>
        <v>ADMINISTRAÇÃO DE OBRA</v>
      </c>
      <c r="C9" s="60">
        <f>'DESCRIÇÃO DE ORÇAMENTO'!F8</f>
        <v>25636.01</v>
      </c>
      <c r="D9" s="61">
        <f t="shared" ref="D9:D21" si="0">(C9/$C$22)*100</f>
        <v>0.95213110375186905</v>
      </c>
      <c r="E9" s="60">
        <f>C9*F9</f>
        <v>5127.2020000000002</v>
      </c>
      <c r="F9" s="273">
        <v>0.2</v>
      </c>
      <c r="G9" s="60">
        <f>C9*H9</f>
        <v>7690.802999999999</v>
      </c>
      <c r="H9" s="273">
        <v>0.3</v>
      </c>
      <c r="I9" s="60">
        <f>C9*J9</f>
        <v>2563.6010000000001</v>
      </c>
      <c r="J9" s="273">
        <v>0.1</v>
      </c>
      <c r="K9" s="60">
        <f>C9*L9</f>
        <v>7690.802999999999</v>
      </c>
      <c r="L9" s="273">
        <v>0.3</v>
      </c>
      <c r="M9" s="60">
        <f>C9*N9</f>
        <v>769.08029999999997</v>
      </c>
      <c r="N9" s="273">
        <v>0.03</v>
      </c>
      <c r="O9" s="60">
        <f>C9*P9</f>
        <v>1794.5207</v>
      </c>
      <c r="P9" s="273">
        <v>7.0000000000000007E-2</v>
      </c>
      <c r="Q9" s="274">
        <f>F9+H9+J9+L9+N9+P9</f>
        <v>1</v>
      </c>
      <c r="R9" s="224"/>
    </row>
    <row r="10" spans="1:18" ht="14" x14ac:dyDescent="0.3">
      <c r="A10" s="128" t="str">
        <f>'DESCRIÇÃO DE ORÇAMENTO'!A9</f>
        <v>2.0</v>
      </c>
      <c r="B10" s="58" t="str">
        <f>'DESCRIÇÃO DE ORÇAMENTO'!B9:E9</f>
        <v>SERVIÇOS PRELIMINARES</v>
      </c>
      <c r="C10" s="60">
        <f>'DESCRIÇÃO DE ORÇAMENTO'!F9</f>
        <v>38895.33</v>
      </c>
      <c r="D10" s="61">
        <f t="shared" si="0"/>
        <v>1.4445872615782718</v>
      </c>
      <c r="E10" s="60">
        <f>C10*(F10/100)</f>
        <v>38895.33</v>
      </c>
      <c r="F10" s="59">
        <v>100</v>
      </c>
      <c r="G10" s="60">
        <f t="shared" ref="G10:G21" si="1">C10*(H10/100)</f>
        <v>0</v>
      </c>
      <c r="H10" s="59">
        <v>0</v>
      </c>
      <c r="I10" s="60">
        <f t="shared" ref="I10:I21" si="2">C10*(J10/100)</f>
        <v>0</v>
      </c>
      <c r="J10" s="59">
        <v>0</v>
      </c>
      <c r="K10" s="60">
        <f t="shared" ref="K10:K21" si="3">C10*(L10/100)</f>
        <v>0</v>
      </c>
      <c r="L10" s="59">
        <v>0</v>
      </c>
      <c r="M10" s="60">
        <f t="shared" ref="M10:M21" si="4">C10*(N10/100)</f>
        <v>0</v>
      </c>
      <c r="N10" s="59">
        <v>0</v>
      </c>
      <c r="O10" s="60">
        <f>C10*P10/100</f>
        <v>0</v>
      </c>
      <c r="P10" s="59">
        <v>0</v>
      </c>
      <c r="Q10" s="215">
        <f>F10+H10+J10+L10+N10+P10</f>
        <v>100</v>
      </c>
    </row>
    <row r="11" spans="1:18" ht="14" x14ac:dyDescent="0.3">
      <c r="A11" s="128" t="str">
        <f>'DESCRIÇÃO DE ORÇAMENTO'!A10</f>
        <v>3.0</v>
      </c>
      <c r="B11" s="58" t="str">
        <f>'DESCRIÇÃO DE ORÇAMENTO'!B10:E10</f>
        <v>ESTRUTURA DE CONCRETO ARMADO</v>
      </c>
      <c r="C11" s="60">
        <f>'DESCRIÇÃO DE ORÇAMENTO'!F10</f>
        <v>337559.31</v>
      </c>
      <c r="D11" s="61">
        <f t="shared" si="0"/>
        <v>12.537080396365088</v>
      </c>
      <c r="E11" s="60">
        <f>C11*(F11/100)</f>
        <v>337559.31</v>
      </c>
      <c r="F11" s="59">
        <v>100</v>
      </c>
      <c r="G11" s="60">
        <f t="shared" si="1"/>
        <v>0</v>
      </c>
      <c r="H11" s="59">
        <v>0</v>
      </c>
      <c r="I11" s="60">
        <f t="shared" si="2"/>
        <v>0</v>
      </c>
      <c r="J11" s="59">
        <v>0</v>
      </c>
      <c r="K11" s="60">
        <f t="shared" si="3"/>
        <v>0</v>
      </c>
      <c r="L11" s="59">
        <v>0</v>
      </c>
      <c r="M11" s="60">
        <f t="shared" si="4"/>
        <v>0</v>
      </c>
      <c r="N11" s="59">
        <v>0</v>
      </c>
      <c r="O11" s="60">
        <f t="shared" ref="O11:O21" si="5">C11*P11/100</f>
        <v>0</v>
      </c>
      <c r="P11" s="59">
        <v>0</v>
      </c>
      <c r="Q11" s="215">
        <f t="shared" ref="Q11:Q21" si="6">F11+H11+J11+L11+N11+P11</f>
        <v>100</v>
      </c>
    </row>
    <row r="12" spans="1:18" ht="14" x14ac:dyDescent="0.3">
      <c r="A12" s="128" t="str">
        <f>'DESCRIÇÃO DE ORÇAMENTO'!A11</f>
        <v>4.0</v>
      </c>
      <c r="B12" s="58" t="str">
        <f>'DESCRIÇÃO DE ORÇAMENTO'!B11:E11</f>
        <v>ALVENARIAS E FECHAMENTOS</v>
      </c>
      <c r="C12" s="60">
        <f>'DESCRIÇÃO DE ORÇAMENTO'!F11</f>
        <v>179214.19</v>
      </c>
      <c r="D12" s="61">
        <f t="shared" si="0"/>
        <v>6.6560827731264425</v>
      </c>
      <c r="E12" s="60">
        <f>C12*(F12/100)</f>
        <v>179214.19</v>
      </c>
      <c r="F12" s="59">
        <v>100</v>
      </c>
      <c r="G12" s="60">
        <f t="shared" si="1"/>
        <v>0</v>
      </c>
      <c r="H12" s="59">
        <v>0</v>
      </c>
      <c r="I12" s="60">
        <f t="shared" si="2"/>
        <v>0</v>
      </c>
      <c r="J12" s="59">
        <v>0</v>
      </c>
      <c r="K12" s="60">
        <f t="shared" si="3"/>
        <v>0</v>
      </c>
      <c r="L12" s="59">
        <v>0</v>
      </c>
      <c r="M12" s="60">
        <f t="shared" si="4"/>
        <v>0</v>
      </c>
      <c r="N12" s="59">
        <v>0</v>
      </c>
      <c r="O12" s="60">
        <f t="shared" si="5"/>
        <v>0</v>
      </c>
      <c r="P12" s="59">
        <v>0</v>
      </c>
      <c r="Q12" s="215">
        <f t="shared" si="6"/>
        <v>100</v>
      </c>
    </row>
    <row r="13" spans="1:18" ht="14" x14ac:dyDescent="0.3">
      <c r="A13" s="128" t="str">
        <f>'DESCRIÇÃO DE ORÇAMENTO'!A12</f>
        <v>5.0</v>
      </c>
      <c r="B13" s="58" t="str">
        <f>'DESCRIÇÃO DE ORÇAMENTO'!B12:E12</f>
        <v>CHAPISCO E REBOCO</v>
      </c>
      <c r="C13" s="60">
        <f>'DESCRIÇÃO DE ORÇAMENTO'!F12</f>
        <v>109037.64</v>
      </c>
      <c r="D13" s="61">
        <f t="shared" si="0"/>
        <v>4.0496991740797013</v>
      </c>
      <c r="E13" s="60">
        <f>C13*(F13/100)</f>
        <v>0</v>
      </c>
      <c r="F13" s="59">
        <v>0</v>
      </c>
      <c r="G13" s="60">
        <f t="shared" si="1"/>
        <v>109037.64</v>
      </c>
      <c r="H13" s="59">
        <v>100</v>
      </c>
      <c r="I13" s="60">
        <f t="shared" si="2"/>
        <v>0</v>
      </c>
      <c r="J13" s="59">
        <v>0</v>
      </c>
      <c r="K13" s="60">
        <f t="shared" si="3"/>
        <v>0</v>
      </c>
      <c r="L13" s="59">
        <v>0</v>
      </c>
      <c r="M13" s="60">
        <f t="shared" si="4"/>
        <v>0</v>
      </c>
      <c r="N13" s="59">
        <v>0</v>
      </c>
      <c r="O13" s="60">
        <f t="shared" si="5"/>
        <v>0</v>
      </c>
      <c r="P13" s="59">
        <v>0</v>
      </c>
      <c r="Q13" s="215">
        <f t="shared" si="6"/>
        <v>100</v>
      </c>
    </row>
    <row r="14" spans="1:18" ht="14" x14ac:dyDescent="0.3">
      <c r="A14" s="128" t="str">
        <f>'DESCRIÇÃO DE ORÇAMENTO'!A13</f>
        <v>6.0</v>
      </c>
      <c r="B14" s="58" t="str">
        <f>'DESCRIÇÃO DE ORÇAMENTO'!B13:E13</f>
        <v>COBERTURA E ESTRUTURA METÁLICA</v>
      </c>
      <c r="C14" s="60">
        <f>'DESCRIÇÃO DE ORÇAMENTO'!F13</f>
        <v>971451.85999999987</v>
      </c>
      <c r="D14" s="61">
        <f t="shared" si="0"/>
        <v>36.080089362720884</v>
      </c>
      <c r="E14" s="60">
        <f t="shared" ref="E14:E21" si="7">C14*(F14/100)</f>
        <v>0</v>
      </c>
      <c r="F14" s="59">
        <v>0</v>
      </c>
      <c r="G14" s="60">
        <f t="shared" si="1"/>
        <v>680016.30199999991</v>
      </c>
      <c r="H14" s="59">
        <v>70</v>
      </c>
      <c r="I14" s="60">
        <f t="shared" si="2"/>
        <v>291435.55799999996</v>
      </c>
      <c r="J14" s="59">
        <v>30</v>
      </c>
      <c r="K14" s="60">
        <f t="shared" si="3"/>
        <v>0</v>
      </c>
      <c r="L14" s="59">
        <v>0</v>
      </c>
      <c r="M14" s="60">
        <f t="shared" si="4"/>
        <v>0</v>
      </c>
      <c r="N14" s="59">
        <v>0</v>
      </c>
      <c r="O14" s="60">
        <f t="shared" si="5"/>
        <v>0</v>
      </c>
      <c r="P14" s="59">
        <v>0</v>
      </c>
      <c r="Q14" s="215">
        <f t="shared" si="6"/>
        <v>100</v>
      </c>
    </row>
    <row r="15" spans="1:18" ht="14" x14ac:dyDescent="0.3">
      <c r="A15" s="128" t="str">
        <f>'DESCRIÇÃO DE ORÇAMENTO'!A14</f>
        <v>7.0</v>
      </c>
      <c r="B15" s="58" t="str">
        <f>'DESCRIÇÃO DE ORÇAMENTO'!B14:E14</f>
        <v>ESQUADRIAS</v>
      </c>
      <c r="C15" s="60">
        <f>'DESCRIÇÃO DE ORÇAMENTO'!F14</f>
        <v>88157.200000000012</v>
      </c>
      <c r="D15" s="61">
        <f t="shared" si="0"/>
        <v>3.2741917380931858</v>
      </c>
      <c r="E15" s="60">
        <f t="shared" si="7"/>
        <v>0</v>
      </c>
      <c r="F15" s="59">
        <v>0</v>
      </c>
      <c r="G15" s="60">
        <f t="shared" si="1"/>
        <v>0</v>
      </c>
      <c r="H15" s="59">
        <v>0</v>
      </c>
      <c r="I15" s="60">
        <f t="shared" si="2"/>
        <v>0</v>
      </c>
      <c r="J15" s="59">
        <v>0</v>
      </c>
      <c r="K15" s="60">
        <f t="shared" si="3"/>
        <v>0</v>
      </c>
      <c r="L15" s="59">
        <v>0</v>
      </c>
      <c r="M15" s="60">
        <f t="shared" si="4"/>
        <v>44078.600000000006</v>
      </c>
      <c r="N15" s="59">
        <v>50</v>
      </c>
      <c r="O15" s="60">
        <f t="shared" si="5"/>
        <v>44078.600000000006</v>
      </c>
      <c r="P15" s="59">
        <v>50</v>
      </c>
      <c r="Q15" s="215">
        <f t="shared" si="6"/>
        <v>100</v>
      </c>
    </row>
    <row r="16" spans="1:18" ht="14" x14ac:dyDescent="0.3">
      <c r="A16" s="128" t="str">
        <f>'DESCRIÇÃO DE ORÇAMENTO'!A15</f>
        <v>8.0</v>
      </c>
      <c r="B16" s="58" t="str">
        <f>'DESCRIÇÃO DE ORÇAMENTO'!B15:E15</f>
        <v>PISOS</v>
      </c>
      <c r="C16" s="60">
        <f>'DESCRIÇÃO DE ORÇAMENTO'!F15</f>
        <v>684467.44000000006</v>
      </c>
      <c r="D16" s="61">
        <f t="shared" si="0"/>
        <v>25.421379502091639</v>
      </c>
      <c r="E16" s="60">
        <f t="shared" si="7"/>
        <v>0</v>
      </c>
      <c r="F16" s="59">
        <v>0</v>
      </c>
      <c r="G16" s="60">
        <f t="shared" si="1"/>
        <v>0</v>
      </c>
      <c r="H16" s="59">
        <v>0</v>
      </c>
      <c r="I16" s="60">
        <f t="shared" si="2"/>
        <v>0</v>
      </c>
      <c r="J16" s="59">
        <v>0</v>
      </c>
      <c r="K16" s="60">
        <f t="shared" si="3"/>
        <v>684467.44000000006</v>
      </c>
      <c r="L16" s="59">
        <v>100</v>
      </c>
      <c r="M16" s="60">
        <f t="shared" si="4"/>
        <v>0</v>
      </c>
      <c r="N16" s="59">
        <v>0</v>
      </c>
      <c r="O16" s="60">
        <f t="shared" si="5"/>
        <v>0</v>
      </c>
      <c r="P16" s="59">
        <v>0</v>
      </c>
      <c r="Q16" s="215">
        <f t="shared" si="6"/>
        <v>100</v>
      </c>
    </row>
    <row r="17" spans="1:19" ht="14" x14ac:dyDescent="0.3">
      <c r="A17" s="128" t="str">
        <f>'DESCRIÇÃO DE ORÇAMENTO'!A16</f>
        <v>9.0</v>
      </c>
      <c r="B17" s="58" t="str">
        <f>'DESCRIÇÃO DE ORÇAMENTO'!B16:E16</f>
        <v>INSTALAÇÕES HIDROSSANITÁRIAS</v>
      </c>
      <c r="C17" s="60">
        <f>'DESCRIÇÃO DE ORÇAMENTO'!F16</f>
        <v>60305.53</v>
      </c>
      <c r="D17" s="61">
        <f t="shared" si="0"/>
        <v>2.2397701842541586</v>
      </c>
      <c r="E17" s="60">
        <f t="shared" si="7"/>
        <v>0</v>
      </c>
      <c r="F17" s="59">
        <v>0</v>
      </c>
      <c r="G17" s="60">
        <f t="shared" si="1"/>
        <v>36183.317999999999</v>
      </c>
      <c r="H17" s="59">
        <v>60</v>
      </c>
      <c r="I17" s="60">
        <f t="shared" si="2"/>
        <v>0</v>
      </c>
      <c r="J17" s="59"/>
      <c r="K17" s="60">
        <f t="shared" si="3"/>
        <v>24122.212</v>
      </c>
      <c r="L17" s="59">
        <v>40</v>
      </c>
      <c r="M17" s="60">
        <f>C17*(N17/100)</f>
        <v>0</v>
      </c>
      <c r="N17" s="59">
        <v>0</v>
      </c>
      <c r="O17" s="60">
        <f t="shared" si="5"/>
        <v>0</v>
      </c>
      <c r="P17" s="59">
        <v>0</v>
      </c>
      <c r="Q17" s="215">
        <f t="shared" si="6"/>
        <v>100</v>
      </c>
    </row>
    <row r="18" spans="1:19" ht="14" x14ac:dyDescent="0.3">
      <c r="A18" s="128" t="str">
        <f>'DESCRIÇÃO DE ORÇAMENTO'!A17</f>
        <v>10.0</v>
      </c>
      <c r="B18" s="58" t="str">
        <f>'DESCRIÇÃO DE ORÇAMENTO'!B17:E17</f>
        <v xml:space="preserve">INSTALAÇÕES ELÉTRICAS </v>
      </c>
      <c r="C18" s="60">
        <f>'DESCRIÇÃO DE ORÇAMENTO'!F17</f>
        <v>111064.31999999996</v>
      </c>
      <c r="D18" s="61">
        <f t="shared" si="0"/>
        <v>4.1249708355181163</v>
      </c>
      <c r="E18" s="60">
        <f t="shared" si="7"/>
        <v>0</v>
      </c>
      <c r="F18" s="59">
        <v>0</v>
      </c>
      <c r="G18" s="60">
        <f t="shared" si="1"/>
        <v>66638.591999999975</v>
      </c>
      <c r="H18" s="59">
        <v>60</v>
      </c>
      <c r="I18" s="60">
        <f t="shared" si="2"/>
        <v>0</v>
      </c>
      <c r="J18" s="59">
        <v>0</v>
      </c>
      <c r="K18" s="60">
        <f t="shared" si="3"/>
        <v>44425.727999999988</v>
      </c>
      <c r="L18" s="59">
        <v>40</v>
      </c>
      <c r="M18" s="60">
        <f t="shared" si="4"/>
        <v>0</v>
      </c>
      <c r="N18" s="59">
        <v>0</v>
      </c>
      <c r="O18" s="60">
        <f t="shared" si="5"/>
        <v>0</v>
      </c>
      <c r="P18" s="59">
        <v>0</v>
      </c>
      <c r="Q18" s="215">
        <f t="shared" si="6"/>
        <v>100</v>
      </c>
    </row>
    <row r="19" spans="1:19" ht="14" x14ac:dyDescent="0.3">
      <c r="A19" s="128" t="str">
        <f>'DESCRIÇÃO DE ORÇAMENTO'!A18</f>
        <v>11.0</v>
      </c>
      <c r="B19" s="58" t="str">
        <f>'DESCRIÇÃO DE ORÇAMENTO'!B18:E18</f>
        <v>PINTURAS E CERÂMICAS EM ALVENARIAS</v>
      </c>
      <c r="C19" s="60">
        <f>'DESCRIÇÃO DE ORÇAMENTO'!F18</f>
        <v>62009.69</v>
      </c>
      <c r="D19" s="61">
        <f t="shared" si="0"/>
        <v>2.3030633309556068</v>
      </c>
      <c r="E19" s="60">
        <f t="shared" si="7"/>
        <v>0</v>
      </c>
      <c r="F19" s="59">
        <v>0</v>
      </c>
      <c r="G19" s="60">
        <f t="shared" si="1"/>
        <v>0</v>
      </c>
      <c r="H19" s="59">
        <v>0</v>
      </c>
      <c r="I19" s="60">
        <f t="shared" si="2"/>
        <v>0</v>
      </c>
      <c r="J19" s="59">
        <v>0</v>
      </c>
      <c r="K19" s="60">
        <f>C19*(L19/100)</f>
        <v>49607.752000000008</v>
      </c>
      <c r="L19" s="59">
        <v>80</v>
      </c>
      <c r="M19" s="60">
        <f>C19*(N19/100)</f>
        <v>12401.938000000002</v>
      </c>
      <c r="N19" s="59">
        <v>20</v>
      </c>
      <c r="O19" s="60">
        <f t="shared" si="5"/>
        <v>0</v>
      </c>
      <c r="P19" s="59">
        <v>0</v>
      </c>
      <c r="Q19" s="215">
        <f t="shared" si="6"/>
        <v>100</v>
      </c>
    </row>
    <row r="20" spans="1:19" ht="14" x14ac:dyDescent="0.3">
      <c r="A20" s="128" t="str">
        <f>'DESCRIÇÃO DE ORÇAMENTO'!A19</f>
        <v>12.0</v>
      </c>
      <c r="B20" s="58" t="str">
        <f>'DESCRIÇÃO DE ORÇAMENTO'!B19:E19</f>
        <v>CALÇADA EXTERNA</v>
      </c>
      <c r="C20" s="60">
        <f>'DESCRIÇÃO DE ORÇAMENTO'!F19</f>
        <v>5105</v>
      </c>
      <c r="D20" s="61">
        <f t="shared" si="0"/>
        <v>0.18960163007633762</v>
      </c>
      <c r="E20" s="60">
        <f t="shared" si="7"/>
        <v>0</v>
      </c>
      <c r="F20" s="59">
        <v>0</v>
      </c>
      <c r="G20" s="60">
        <f t="shared" si="1"/>
        <v>0</v>
      </c>
      <c r="H20" s="59">
        <v>0</v>
      </c>
      <c r="I20" s="60">
        <f t="shared" si="2"/>
        <v>0</v>
      </c>
      <c r="J20" s="59">
        <v>0</v>
      </c>
      <c r="K20" s="60">
        <f t="shared" si="3"/>
        <v>0</v>
      </c>
      <c r="L20" s="59">
        <v>0</v>
      </c>
      <c r="M20" s="60">
        <f t="shared" si="4"/>
        <v>2552.5</v>
      </c>
      <c r="N20" s="59">
        <v>50</v>
      </c>
      <c r="O20" s="60">
        <f t="shared" si="5"/>
        <v>2552.5</v>
      </c>
      <c r="P20" s="59">
        <v>50</v>
      </c>
      <c r="Q20" s="215">
        <f t="shared" si="6"/>
        <v>100</v>
      </c>
    </row>
    <row r="21" spans="1:19" ht="14.5" thickBot="1" x14ac:dyDescent="0.35">
      <c r="A21" s="128" t="str">
        <f>'DESCRIÇÃO DE ORÇAMENTO'!A20</f>
        <v>13.0</v>
      </c>
      <c r="B21" s="58" t="str">
        <f>'DESCRIÇÃO DE ORÇAMENTO'!B20:E20</f>
        <v>SERVIÇOS COMPLEMENTARES</v>
      </c>
      <c r="C21" s="60">
        <f>'DESCRIÇÃO DE ORÇAMENTO'!F20</f>
        <v>19583.88</v>
      </c>
      <c r="D21" s="61">
        <f t="shared" si="0"/>
        <v>0.72735270738871438</v>
      </c>
      <c r="E21" s="60">
        <f t="shared" si="7"/>
        <v>0</v>
      </c>
      <c r="F21" s="59">
        <v>0</v>
      </c>
      <c r="G21" s="60">
        <f t="shared" si="1"/>
        <v>0</v>
      </c>
      <c r="H21" s="59">
        <v>0</v>
      </c>
      <c r="I21" s="60">
        <f t="shared" si="2"/>
        <v>0</v>
      </c>
      <c r="J21" s="59">
        <v>0</v>
      </c>
      <c r="K21" s="60">
        <f t="shared" si="3"/>
        <v>0</v>
      </c>
      <c r="L21" s="59">
        <v>0</v>
      </c>
      <c r="M21" s="60">
        <f t="shared" si="4"/>
        <v>9791.94</v>
      </c>
      <c r="N21" s="59">
        <v>50</v>
      </c>
      <c r="O21" s="60">
        <f t="shared" si="5"/>
        <v>9791.94</v>
      </c>
      <c r="P21" s="59">
        <v>50</v>
      </c>
      <c r="Q21" s="215">
        <f t="shared" si="6"/>
        <v>100</v>
      </c>
    </row>
    <row r="22" spans="1:19" ht="14.5" thickBot="1" x14ac:dyDescent="0.35">
      <c r="A22" s="129"/>
      <c r="B22" s="63" t="s">
        <v>87</v>
      </c>
      <c r="C22" s="64">
        <f>SUM(C9:C21)</f>
        <v>2692487.3999999994</v>
      </c>
      <c r="D22" s="65">
        <f>SUM(D9:D21)</f>
        <v>100.00000000000001</v>
      </c>
      <c r="E22" s="67">
        <f>SUM(E9:E21)</f>
        <v>560796.03200000001</v>
      </c>
      <c r="F22" s="130">
        <f>(E22/C22)*100</f>
        <v>20.828176651820176</v>
      </c>
      <c r="G22" s="67">
        <f>SUM(G9:G21)</f>
        <v>899566.6549999998</v>
      </c>
      <c r="H22" s="130">
        <f>(G22/C22)*100</f>
        <v>33.410245670973246</v>
      </c>
      <c r="I22" s="67">
        <f>SUM(I9:I21)</f>
        <v>293999.15899999999</v>
      </c>
      <c r="J22" s="130">
        <f>(I22/C22)*100</f>
        <v>10.919239919191453</v>
      </c>
      <c r="K22" s="67">
        <f>SUM(K9:K21)</f>
        <v>810313.93500000006</v>
      </c>
      <c r="L22" s="130">
        <f>(K22/C22)*100</f>
        <v>30.095365905890599</v>
      </c>
      <c r="M22" s="67">
        <f>SUM(M9:M21)</f>
        <v>69594.058300000004</v>
      </c>
      <c r="N22" s="130">
        <f>(M22/C22)*100</f>
        <v>2.5847496370827963</v>
      </c>
      <c r="O22" s="67">
        <f>SUM(O9:O21)</f>
        <v>58217.560700000009</v>
      </c>
      <c r="P22" s="130">
        <f>(O22/C22)*100</f>
        <v>2.1622222150417496</v>
      </c>
      <c r="Q22" s="131">
        <f>H22+F22+J22+L22+N22+P22</f>
        <v>100.00000000000003</v>
      </c>
    </row>
    <row r="23" spans="1:19" ht="15.75" customHeight="1" thickBot="1" x14ac:dyDescent="0.35">
      <c r="A23" s="132"/>
      <c r="B23" s="68" t="s">
        <v>88</v>
      </c>
      <c r="C23" s="69"/>
      <c r="D23" s="70"/>
      <c r="E23" s="69">
        <f>SUM(E9:E22)/2</f>
        <v>560796.03200000001</v>
      </c>
      <c r="F23" s="72">
        <f>F22</f>
        <v>20.828176651820176</v>
      </c>
      <c r="G23" s="73">
        <f>E22+G22</f>
        <v>1460362.6869999999</v>
      </c>
      <c r="H23" s="73">
        <f>H22+F23</f>
        <v>54.238422322793426</v>
      </c>
      <c r="I23" s="73">
        <f>G23+I22</f>
        <v>1754361.8459999999</v>
      </c>
      <c r="J23" s="73">
        <f t="shared" ref="J23:P23" si="8">J22+H23</f>
        <v>65.15766224198488</v>
      </c>
      <c r="K23" s="226">
        <f t="shared" si="8"/>
        <v>2564675.781</v>
      </c>
      <c r="L23" s="226">
        <f t="shared" si="8"/>
        <v>95.253028147875483</v>
      </c>
      <c r="M23" s="226">
        <f t="shared" si="8"/>
        <v>2634269.8393000001</v>
      </c>
      <c r="N23" s="226">
        <f t="shared" si="8"/>
        <v>97.837777784958277</v>
      </c>
      <c r="O23" s="226">
        <f t="shared" si="8"/>
        <v>2692487.4</v>
      </c>
      <c r="P23" s="226">
        <f t="shared" si="8"/>
        <v>100.00000000000003</v>
      </c>
      <c r="Q23" s="133"/>
    </row>
    <row r="24" spans="1:19" ht="15.75" customHeight="1" x14ac:dyDescent="0.3">
      <c r="A24" s="388" t="s">
        <v>137</v>
      </c>
      <c r="B24" s="413"/>
      <c r="C24" s="413"/>
      <c r="D24" s="388"/>
      <c r="E24" s="413"/>
      <c r="F24" s="389"/>
      <c r="G24" s="492" t="s">
        <v>142</v>
      </c>
      <c r="H24" s="493"/>
      <c r="I24" s="493"/>
      <c r="J24" s="493"/>
      <c r="K24" s="493"/>
      <c r="L24" s="493"/>
      <c r="M24" s="493"/>
      <c r="N24" s="493"/>
      <c r="O24" s="493"/>
      <c r="P24" s="493"/>
      <c r="Q24" s="494"/>
    </row>
    <row r="25" spans="1:19" ht="15.75" customHeight="1" thickBot="1" x14ac:dyDescent="0.35">
      <c r="A25" s="390"/>
      <c r="B25" s="414"/>
      <c r="C25" s="414"/>
      <c r="D25" s="390"/>
      <c r="E25" s="414"/>
      <c r="F25" s="391"/>
      <c r="G25" s="495"/>
      <c r="H25" s="496"/>
      <c r="I25" s="496"/>
      <c r="J25" s="496"/>
      <c r="K25" s="496"/>
      <c r="L25" s="496"/>
      <c r="M25" s="496"/>
      <c r="N25" s="496"/>
      <c r="O25" s="496"/>
      <c r="P25" s="496"/>
      <c r="Q25" s="497"/>
    </row>
    <row r="26" spans="1:19" ht="15.75" customHeight="1" x14ac:dyDescent="0.3">
      <c r="A26" s="462"/>
      <c r="B26" s="463"/>
      <c r="C26" s="463"/>
      <c r="D26" s="462"/>
      <c r="E26" s="463"/>
      <c r="F26" s="464"/>
      <c r="G26" s="498"/>
      <c r="H26" s="499"/>
      <c r="I26" s="499"/>
      <c r="J26" s="499"/>
      <c r="K26" s="499"/>
      <c r="L26" s="499"/>
      <c r="M26" s="499"/>
      <c r="N26" s="499"/>
      <c r="O26" s="499"/>
      <c r="P26" s="499"/>
      <c r="Q26" s="500"/>
      <c r="S26" s="225"/>
    </row>
    <row r="27" spans="1:19" ht="15.75" customHeight="1" x14ac:dyDescent="0.3">
      <c r="A27" s="356"/>
      <c r="B27" s="357"/>
      <c r="C27" s="357"/>
      <c r="D27" s="356"/>
      <c r="E27" s="357"/>
      <c r="F27" s="465"/>
      <c r="G27" s="501"/>
      <c r="H27" s="502"/>
      <c r="I27" s="502"/>
      <c r="J27" s="502"/>
      <c r="K27" s="502"/>
      <c r="L27" s="502"/>
      <c r="M27" s="502"/>
      <c r="N27" s="502"/>
      <c r="O27" s="502"/>
      <c r="P27" s="502"/>
      <c r="Q27" s="503"/>
    </row>
    <row r="28" spans="1:19" ht="15.75" customHeight="1" x14ac:dyDescent="0.3">
      <c r="A28" s="418" t="s">
        <v>13</v>
      </c>
      <c r="B28" s="419"/>
      <c r="C28" s="419"/>
      <c r="D28" s="483"/>
      <c r="E28" s="484"/>
      <c r="F28" s="485"/>
      <c r="G28" s="486"/>
      <c r="H28" s="487"/>
      <c r="I28" s="487"/>
      <c r="J28" s="487"/>
      <c r="K28" s="487"/>
      <c r="L28" s="487"/>
      <c r="M28" s="487"/>
      <c r="N28" s="487"/>
      <c r="O28" s="487"/>
      <c r="P28" s="487"/>
      <c r="Q28" s="488"/>
    </row>
    <row r="29" spans="1:19" ht="15.75" customHeight="1" thickBot="1" x14ac:dyDescent="0.35">
      <c r="A29" s="400" t="s">
        <v>866</v>
      </c>
      <c r="B29" s="401"/>
      <c r="C29" s="401"/>
      <c r="D29" s="390"/>
      <c r="E29" s="414"/>
      <c r="F29" s="391"/>
      <c r="G29" s="489"/>
      <c r="H29" s="490"/>
      <c r="I29" s="490"/>
      <c r="J29" s="490"/>
      <c r="K29" s="490"/>
      <c r="L29" s="490"/>
      <c r="M29" s="490"/>
      <c r="N29" s="490"/>
      <c r="O29" s="490"/>
      <c r="P29" s="490"/>
      <c r="Q29" s="491"/>
    </row>
    <row r="30" spans="1:19" ht="15.75" customHeight="1" x14ac:dyDescent="0.3">
      <c r="E30" s="12"/>
    </row>
    <row r="31" spans="1:19" ht="15.75" customHeight="1" x14ac:dyDescent="0.3"/>
    <row r="32" spans="1:1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28">
    <mergeCell ref="A29:C29"/>
    <mergeCell ref="D29:F29"/>
    <mergeCell ref="G29:Q29"/>
    <mergeCell ref="A24:C25"/>
    <mergeCell ref="D24:F25"/>
    <mergeCell ref="G24:Q25"/>
    <mergeCell ref="A28:C28"/>
    <mergeCell ref="D28:F28"/>
    <mergeCell ref="G28:Q28"/>
    <mergeCell ref="A26:C27"/>
    <mergeCell ref="D26:F27"/>
    <mergeCell ref="G26:Q26"/>
    <mergeCell ref="G27:Q27"/>
    <mergeCell ref="B1:Q1"/>
    <mergeCell ref="B2:Q2"/>
    <mergeCell ref="B3:Q3"/>
    <mergeCell ref="B4:Q4"/>
    <mergeCell ref="A5:Q5"/>
    <mergeCell ref="A6:A8"/>
    <mergeCell ref="B6:B8"/>
    <mergeCell ref="C6:D7"/>
    <mergeCell ref="E6:Q6"/>
    <mergeCell ref="E7:F7"/>
    <mergeCell ref="G7:H7"/>
    <mergeCell ref="I7:J7"/>
    <mergeCell ref="K7:L7"/>
    <mergeCell ref="M7:N7"/>
    <mergeCell ref="O7:P7"/>
  </mergeCells>
  <pageMargins left="0.51181102362204722" right="0.51181102362204722" top="1.9685039370078741" bottom="0.94488188976377963" header="0.59055118110236227" footer="0"/>
  <pageSetup paperSize="9" scale="52" fitToHeight="0" orientation="landscape" r:id="rId1"/>
  <headerFooter>
    <oddHeader>&amp;C&amp;G</oddHeader>
    <oddFooter>&amp;CRua Rui Barbosa, 310 - Centro - Araputanga-MT – Cel: (65) 99613-9294 E-mail: carolina.o.almeida@hotmail.com / escalaprojeta@gmail.com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8C11B-CC73-4E16-86C8-A430CCE5ADBD}">
  <sheetPr>
    <pageSetUpPr fitToPage="1"/>
  </sheetPr>
  <dimension ref="A1:AB227"/>
  <sheetViews>
    <sheetView view="pageBreakPreview" topLeftCell="B5" zoomScale="110" zoomScaleNormal="80" zoomScaleSheetLayoutView="110" workbookViewId="0">
      <selection activeCell="E221" sqref="E221"/>
    </sheetView>
  </sheetViews>
  <sheetFormatPr defaultColWidth="12.6640625" defaultRowHeight="14" x14ac:dyDescent="0.3"/>
  <cols>
    <col min="1" max="1" width="16.5" hidden="1" customWidth="1"/>
    <col min="2" max="2" width="16.5" customWidth="1"/>
    <col min="3" max="3" width="13.33203125" customWidth="1"/>
    <col min="4" max="4" width="60.6640625" customWidth="1"/>
    <col min="5" max="5" width="7" customWidth="1"/>
    <col min="6" max="6" width="11.75" customWidth="1"/>
    <col min="7" max="7" width="14.25" hidden="1" customWidth="1"/>
    <col min="8" max="8" width="23.6640625" hidden="1" customWidth="1"/>
    <col min="9" max="9" width="23.83203125" customWidth="1"/>
    <col min="10" max="10" width="11.75" customWidth="1"/>
    <col min="11" max="11" width="13.33203125" customWidth="1"/>
    <col min="12" max="28" width="7.6640625" customWidth="1"/>
  </cols>
  <sheetData>
    <row r="1" spans="1:28" ht="14.5" hidden="1" thickBot="1" x14ac:dyDescent="0.35">
      <c r="A1" s="177" t="s">
        <v>0</v>
      </c>
      <c r="B1" s="441" t="s">
        <v>903</v>
      </c>
      <c r="C1" s="442"/>
      <c r="D1" s="442"/>
      <c r="E1" s="442"/>
      <c r="F1" s="443"/>
      <c r="G1" s="447" t="s">
        <v>15</v>
      </c>
      <c r="H1" s="448"/>
      <c r="I1" s="85"/>
      <c r="J1" s="706"/>
    </row>
    <row r="2" spans="1:28" ht="14.5" hidden="1" thickBot="1" x14ac:dyDescent="0.35">
      <c r="A2" s="177" t="s">
        <v>1</v>
      </c>
      <c r="B2" s="444" t="s">
        <v>904</v>
      </c>
      <c r="C2" s="442"/>
      <c r="D2" s="442"/>
      <c r="E2" s="442"/>
      <c r="F2" s="443"/>
      <c r="G2" s="449"/>
      <c r="H2" s="450"/>
      <c r="I2" s="86"/>
      <c r="J2" s="707"/>
    </row>
    <row r="3" spans="1:28" ht="14.5" hidden="1" thickBot="1" x14ac:dyDescent="0.35">
      <c r="A3" s="177" t="s">
        <v>2</v>
      </c>
      <c r="B3" s="444" t="s">
        <v>905</v>
      </c>
      <c r="C3" s="442"/>
      <c r="D3" s="442"/>
      <c r="E3" s="442"/>
      <c r="F3" s="443"/>
      <c r="G3" s="433" t="s">
        <v>210</v>
      </c>
      <c r="H3" s="434"/>
      <c r="I3" s="85" t="s">
        <v>260</v>
      </c>
      <c r="J3" s="706"/>
    </row>
    <row r="4" spans="1:28" ht="14.5" hidden="1" thickBot="1" x14ac:dyDescent="0.35">
      <c r="A4" s="206" t="s">
        <v>3</v>
      </c>
      <c r="B4" s="451">
        <f ca="1">TODAY()</f>
        <v>45972</v>
      </c>
      <c r="C4" s="452"/>
      <c r="D4" s="452"/>
      <c r="E4" s="452"/>
      <c r="F4" s="453"/>
      <c r="G4" s="445" t="s">
        <v>816</v>
      </c>
      <c r="H4" s="446"/>
      <c r="I4" s="207">
        <f>BDI!D21</f>
        <v>0.26240000000000002</v>
      </c>
      <c r="J4" s="707"/>
    </row>
    <row r="5" spans="1:28" ht="14.5" thickBot="1" x14ac:dyDescent="0.35">
      <c r="A5" s="710" t="s">
        <v>906</v>
      </c>
      <c r="B5" s="710"/>
      <c r="C5" s="710"/>
      <c r="D5" s="710"/>
      <c r="E5" s="710"/>
      <c r="F5" s="710"/>
      <c r="G5" s="710"/>
      <c r="H5" s="710"/>
      <c r="I5" s="710"/>
      <c r="J5" s="729"/>
    </row>
    <row r="6" spans="1:28" ht="28" x14ac:dyDescent="0.35">
      <c r="A6" s="711" t="s">
        <v>107</v>
      </c>
      <c r="B6" s="711" t="s">
        <v>5</v>
      </c>
      <c r="C6" s="711" t="s">
        <v>18</v>
      </c>
      <c r="D6" s="711" t="s">
        <v>19</v>
      </c>
      <c r="E6" s="711" t="s">
        <v>20</v>
      </c>
      <c r="F6" s="711" t="s">
        <v>21</v>
      </c>
      <c r="G6" s="712" t="s">
        <v>22</v>
      </c>
      <c r="H6" s="712" t="s">
        <v>23</v>
      </c>
      <c r="I6" s="723" t="s">
        <v>24</v>
      </c>
      <c r="J6" s="730" t="s">
        <v>907</v>
      </c>
      <c r="K6" s="19"/>
    </row>
    <row r="7" spans="1:28" hidden="1" x14ac:dyDescent="0.3">
      <c r="A7" s="713"/>
      <c r="B7" s="713" t="s">
        <v>8</v>
      </c>
      <c r="C7" s="713"/>
      <c r="D7" s="714" t="s">
        <v>302</v>
      </c>
      <c r="E7" s="713"/>
      <c r="F7" s="715"/>
      <c r="G7" s="715"/>
      <c r="H7" s="715"/>
      <c r="I7" s="724">
        <f>I8</f>
        <v>25636.01</v>
      </c>
      <c r="J7" s="731"/>
    </row>
    <row r="8" spans="1:28" ht="17.25" hidden="1" customHeight="1" x14ac:dyDescent="0.3">
      <c r="A8" s="233" t="s">
        <v>108</v>
      </c>
      <c r="B8" s="233" t="s">
        <v>26</v>
      </c>
      <c r="C8" s="233" t="s">
        <v>27</v>
      </c>
      <c r="D8" s="232" t="s">
        <v>277</v>
      </c>
      <c r="E8" s="233" t="s">
        <v>36</v>
      </c>
      <c r="F8" s="262">
        <v>1</v>
      </c>
      <c r="G8" s="262">
        <f>'COMPOSIÇÕES E COTAÇÕES'!G14</f>
        <v>20307.36</v>
      </c>
      <c r="H8" s="293">
        <f>TRUNC(G8+(G8*$I$4),2)</f>
        <v>25636.01</v>
      </c>
      <c r="I8" s="725">
        <f>TRUNC(H8*F8,2)</f>
        <v>25636.01</v>
      </c>
      <c r="J8" s="735">
        <v>1</v>
      </c>
    </row>
    <row r="9" spans="1:28" hidden="1" x14ac:dyDescent="0.3">
      <c r="A9" s="713"/>
      <c r="B9" s="713" t="s">
        <v>9</v>
      </c>
      <c r="C9" s="713"/>
      <c r="D9" s="714" t="s">
        <v>25</v>
      </c>
      <c r="E9" s="713"/>
      <c r="F9" s="715"/>
      <c r="G9" s="715"/>
      <c r="H9" s="715"/>
      <c r="I9" s="724">
        <f>SUM(I11:I15)</f>
        <v>38895.33</v>
      </c>
      <c r="J9" s="731"/>
    </row>
    <row r="10" spans="1:28" ht="14.5" hidden="1" x14ac:dyDescent="0.35">
      <c r="A10" s="288"/>
      <c r="B10" s="288"/>
      <c r="C10" s="288"/>
      <c r="D10" s="289" t="s">
        <v>702</v>
      </c>
      <c r="E10" s="288"/>
      <c r="F10" s="290"/>
      <c r="G10" s="290"/>
      <c r="H10" s="291"/>
      <c r="I10" s="726"/>
      <c r="J10" s="732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ht="42" hidden="1" x14ac:dyDescent="0.3">
      <c r="A11" s="233" t="s">
        <v>276</v>
      </c>
      <c r="B11" s="292" t="s">
        <v>31</v>
      </c>
      <c r="C11" s="233">
        <v>103689</v>
      </c>
      <c r="D11" s="232" t="s">
        <v>701</v>
      </c>
      <c r="E11" s="292" t="s">
        <v>29</v>
      </c>
      <c r="F11" s="262">
        <v>3.13</v>
      </c>
      <c r="G11" s="262">
        <v>464.08</v>
      </c>
      <c r="H11" s="293">
        <f t="shared" ref="H11:H15" si="0">TRUNC(G11+(G11*$I$4),2)</f>
        <v>585.85</v>
      </c>
      <c r="I11" s="725">
        <f t="shared" ref="I11:I15" si="1">TRUNC(H11*F11,2)</f>
        <v>1833.71</v>
      </c>
      <c r="J11" s="735">
        <v>3.13</v>
      </c>
    </row>
    <row r="12" spans="1:28" ht="51" hidden="1" customHeight="1" x14ac:dyDescent="0.3">
      <c r="A12" s="233" t="s">
        <v>276</v>
      </c>
      <c r="B12" s="233" t="s">
        <v>33</v>
      </c>
      <c r="C12" s="233">
        <v>99059</v>
      </c>
      <c r="D12" s="232" t="s">
        <v>338</v>
      </c>
      <c r="E12" s="233" t="s">
        <v>41</v>
      </c>
      <c r="F12" s="262">
        <v>156.07</v>
      </c>
      <c r="G12" s="262">
        <v>61.96</v>
      </c>
      <c r="H12" s="293">
        <f t="shared" si="0"/>
        <v>78.209999999999994</v>
      </c>
      <c r="I12" s="725">
        <f t="shared" si="1"/>
        <v>12206.23</v>
      </c>
      <c r="J12" s="735">
        <v>156.07</v>
      </c>
    </row>
    <row r="13" spans="1:28" hidden="1" x14ac:dyDescent="0.3">
      <c r="A13" s="233" t="s">
        <v>773</v>
      </c>
      <c r="B13" s="233" t="s">
        <v>34</v>
      </c>
      <c r="C13" s="233" t="s">
        <v>772</v>
      </c>
      <c r="D13" s="232" t="s">
        <v>813</v>
      </c>
      <c r="E13" s="233" t="s">
        <v>42</v>
      </c>
      <c r="F13" s="262">
        <v>1</v>
      </c>
      <c r="G13" s="262">
        <v>2589</v>
      </c>
      <c r="H13" s="293">
        <f t="shared" si="0"/>
        <v>3268.35</v>
      </c>
      <c r="I13" s="725">
        <f t="shared" si="1"/>
        <v>3268.35</v>
      </c>
      <c r="J13" s="735">
        <v>1</v>
      </c>
    </row>
    <row r="14" spans="1:28" ht="28" hidden="1" x14ac:dyDescent="0.3">
      <c r="A14" s="233" t="s">
        <v>773</v>
      </c>
      <c r="B14" s="233" t="s">
        <v>35</v>
      </c>
      <c r="C14" s="233" t="s">
        <v>772</v>
      </c>
      <c r="D14" s="232" t="s">
        <v>814</v>
      </c>
      <c r="E14" s="233" t="s">
        <v>123</v>
      </c>
      <c r="F14" s="262">
        <v>6</v>
      </c>
      <c r="G14" s="262">
        <v>2200</v>
      </c>
      <c r="H14" s="293">
        <f t="shared" si="0"/>
        <v>2777.28</v>
      </c>
      <c r="I14" s="725">
        <f t="shared" si="1"/>
        <v>16663.68</v>
      </c>
      <c r="J14" s="735">
        <v>6</v>
      </c>
    </row>
    <row r="15" spans="1:28" ht="28" hidden="1" x14ac:dyDescent="0.3">
      <c r="A15" s="233" t="s">
        <v>773</v>
      </c>
      <c r="B15" s="233" t="s">
        <v>125</v>
      </c>
      <c r="C15" s="233" t="s">
        <v>772</v>
      </c>
      <c r="D15" s="232" t="s">
        <v>812</v>
      </c>
      <c r="E15" s="233" t="s">
        <v>123</v>
      </c>
      <c r="F15" s="262">
        <v>6</v>
      </c>
      <c r="G15" s="262">
        <v>650</v>
      </c>
      <c r="H15" s="293">
        <f t="shared" si="0"/>
        <v>820.56</v>
      </c>
      <c r="I15" s="725">
        <f t="shared" si="1"/>
        <v>4923.3599999999997</v>
      </c>
      <c r="J15" s="735">
        <v>6</v>
      </c>
    </row>
    <row r="16" spans="1:28" hidden="1" x14ac:dyDescent="0.3">
      <c r="A16" s="713"/>
      <c r="B16" s="713" t="s">
        <v>10</v>
      </c>
      <c r="C16" s="716"/>
      <c r="D16" s="297" t="s">
        <v>875</v>
      </c>
      <c r="E16" s="716"/>
      <c r="F16" s="717"/>
      <c r="G16" s="717"/>
      <c r="H16" s="715"/>
      <c r="I16" s="727">
        <f>SUM(I17:I47)</f>
        <v>337559.31</v>
      </c>
      <c r="J16" s="733"/>
    </row>
    <row r="17" spans="1:28" hidden="1" x14ac:dyDescent="0.3">
      <c r="A17" s="288"/>
      <c r="B17" s="288"/>
      <c r="C17" s="288"/>
      <c r="D17" s="289" t="s">
        <v>339</v>
      </c>
      <c r="E17" s="288"/>
      <c r="F17" s="290"/>
      <c r="G17" s="290"/>
      <c r="H17" s="291"/>
      <c r="I17" s="726"/>
      <c r="J17" s="732"/>
    </row>
    <row r="18" spans="1:28" hidden="1" x14ac:dyDescent="0.3">
      <c r="A18" s="718"/>
      <c r="B18" s="718"/>
      <c r="C18" s="718"/>
      <c r="D18" s="719" t="s">
        <v>435</v>
      </c>
      <c r="E18" s="718"/>
      <c r="F18" s="720"/>
      <c r="G18" s="720"/>
      <c r="H18" s="721"/>
      <c r="I18" s="728"/>
      <c r="J18" s="734"/>
    </row>
    <row r="19" spans="1:28" ht="50.25" hidden="1" customHeight="1" x14ac:dyDescent="0.3">
      <c r="A19" s="233" t="s">
        <v>276</v>
      </c>
      <c r="B19" s="292" t="s">
        <v>37</v>
      </c>
      <c r="C19" s="292">
        <v>96523</v>
      </c>
      <c r="D19" s="232" t="s">
        <v>340</v>
      </c>
      <c r="E19" s="292" t="s">
        <v>32</v>
      </c>
      <c r="F19" s="262">
        <v>26.1</v>
      </c>
      <c r="G19" s="262">
        <v>91.67</v>
      </c>
      <c r="H19" s="293">
        <f t="shared" ref="H19:H25" si="2">TRUNC(G19+(G19*$I$4),2)</f>
        <v>115.72</v>
      </c>
      <c r="I19" s="725">
        <f t="shared" ref="I19:I25" si="3">TRUNC(H19*F19,2)</f>
        <v>3020.29</v>
      </c>
      <c r="J19" s="735">
        <v>26.1</v>
      </c>
    </row>
    <row r="20" spans="1:28" ht="37.5" hidden="1" customHeight="1" x14ac:dyDescent="0.3">
      <c r="A20" s="233" t="s">
        <v>276</v>
      </c>
      <c r="B20" s="292" t="s">
        <v>38</v>
      </c>
      <c r="C20" s="292">
        <v>93382</v>
      </c>
      <c r="D20" s="232" t="s">
        <v>341</v>
      </c>
      <c r="E20" s="292" t="s">
        <v>32</v>
      </c>
      <c r="F20" s="262">
        <v>2.9</v>
      </c>
      <c r="G20" s="262">
        <v>24.47</v>
      </c>
      <c r="H20" s="293">
        <f t="shared" si="2"/>
        <v>30.89</v>
      </c>
      <c r="I20" s="725">
        <f t="shared" si="3"/>
        <v>89.58</v>
      </c>
      <c r="J20" s="735">
        <v>2.9</v>
      </c>
    </row>
    <row r="21" spans="1:28" ht="49.5" hidden="1" customHeight="1" x14ac:dyDescent="0.3">
      <c r="A21" s="233" t="s">
        <v>276</v>
      </c>
      <c r="B21" s="292" t="s">
        <v>713</v>
      </c>
      <c r="C21" s="292">
        <v>96535</v>
      </c>
      <c r="D21" s="232" t="s">
        <v>342</v>
      </c>
      <c r="E21" s="292" t="s">
        <v>29</v>
      </c>
      <c r="F21" s="262">
        <v>65.319999999999993</v>
      </c>
      <c r="G21" s="262">
        <v>134.49</v>
      </c>
      <c r="H21" s="293">
        <f t="shared" si="2"/>
        <v>169.78</v>
      </c>
      <c r="I21" s="725">
        <f t="shared" si="3"/>
        <v>11090.02</v>
      </c>
      <c r="J21" s="735">
        <v>65.319999999999993</v>
      </c>
    </row>
    <row r="22" spans="1:28" ht="44.15" hidden="1" customHeight="1" x14ac:dyDescent="0.3">
      <c r="A22" s="233" t="s">
        <v>276</v>
      </c>
      <c r="B22" s="292" t="s">
        <v>39</v>
      </c>
      <c r="C22" s="292">
        <v>104111</v>
      </c>
      <c r="D22" s="232" t="s">
        <v>703</v>
      </c>
      <c r="E22" s="292" t="s">
        <v>343</v>
      </c>
      <c r="F22" s="262">
        <f>270.8+63.1</f>
        <v>333.90000000000003</v>
      </c>
      <c r="G22" s="262">
        <v>20.079999999999998</v>
      </c>
      <c r="H22" s="293">
        <f t="shared" si="2"/>
        <v>25.34</v>
      </c>
      <c r="I22" s="725">
        <f>TRUNC(H22*F22,2)</f>
        <v>8461.02</v>
      </c>
      <c r="J22" s="735">
        <f>270.8+63.1</f>
        <v>333.90000000000003</v>
      </c>
    </row>
    <row r="23" spans="1:28" ht="39.75" hidden="1" customHeight="1" x14ac:dyDescent="0.3">
      <c r="A23" s="233" t="s">
        <v>276</v>
      </c>
      <c r="B23" s="292" t="s">
        <v>40</v>
      </c>
      <c r="C23" s="292">
        <v>104918</v>
      </c>
      <c r="D23" s="232" t="s">
        <v>629</v>
      </c>
      <c r="E23" s="292" t="s">
        <v>343</v>
      </c>
      <c r="F23" s="262">
        <v>850.75</v>
      </c>
      <c r="G23" s="262">
        <v>14.34</v>
      </c>
      <c r="H23" s="293">
        <f t="shared" si="2"/>
        <v>18.100000000000001</v>
      </c>
      <c r="I23" s="725">
        <f>TRUNC(H23*F23,2)</f>
        <v>15398.57</v>
      </c>
      <c r="J23" s="735">
        <v>850.75</v>
      </c>
    </row>
    <row r="24" spans="1:28" ht="42" hidden="1" x14ac:dyDescent="0.35">
      <c r="A24" s="233" t="s">
        <v>276</v>
      </c>
      <c r="B24" s="292" t="s">
        <v>448</v>
      </c>
      <c r="C24" s="233">
        <v>94972</v>
      </c>
      <c r="D24" s="232" t="s">
        <v>684</v>
      </c>
      <c r="E24" s="233" t="s">
        <v>32</v>
      </c>
      <c r="F24" s="165">
        <v>23.2</v>
      </c>
      <c r="G24" s="262">
        <v>611.04</v>
      </c>
      <c r="H24" s="293">
        <f t="shared" si="2"/>
        <v>771.37</v>
      </c>
      <c r="I24" s="725">
        <f t="shared" si="3"/>
        <v>17895.78</v>
      </c>
      <c r="J24" s="735">
        <v>23.2</v>
      </c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</row>
    <row r="25" spans="1:28" ht="28" hidden="1" x14ac:dyDescent="0.35">
      <c r="A25" s="233" t="s">
        <v>276</v>
      </c>
      <c r="B25" s="292" t="s">
        <v>714</v>
      </c>
      <c r="C25" s="233">
        <v>96558</v>
      </c>
      <c r="D25" s="232" t="s">
        <v>685</v>
      </c>
      <c r="E25" s="233" t="s">
        <v>32</v>
      </c>
      <c r="F25" s="165">
        <v>23.2</v>
      </c>
      <c r="G25" s="262">
        <v>1036.24</v>
      </c>
      <c r="H25" s="293">
        <f t="shared" si="2"/>
        <v>1308.1400000000001</v>
      </c>
      <c r="I25" s="725">
        <f t="shared" si="3"/>
        <v>30348.84</v>
      </c>
      <c r="J25" s="735">
        <v>23.2</v>
      </c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</row>
    <row r="26" spans="1:28" hidden="1" x14ac:dyDescent="0.3">
      <c r="A26" s="288"/>
      <c r="B26" s="288"/>
      <c r="C26" s="288"/>
      <c r="D26" s="289" t="s">
        <v>346</v>
      </c>
      <c r="E26" s="288"/>
      <c r="F26" s="290"/>
      <c r="G26" s="290"/>
      <c r="H26" s="291"/>
      <c r="I26" s="726"/>
      <c r="J26" s="732"/>
    </row>
    <row r="27" spans="1:28" hidden="1" x14ac:dyDescent="0.3">
      <c r="A27" s="718"/>
      <c r="B27" s="718"/>
      <c r="C27" s="718"/>
      <c r="D27" s="719" t="s">
        <v>686</v>
      </c>
      <c r="E27" s="718"/>
      <c r="F27" s="720"/>
      <c r="G27" s="720"/>
      <c r="H27" s="721"/>
      <c r="I27" s="728"/>
      <c r="J27" s="734"/>
    </row>
    <row r="28" spans="1:28" ht="73.5" hidden="1" customHeight="1" x14ac:dyDescent="0.3">
      <c r="A28" s="233" t="s">
        <v>276</v>
      </c>
      <c r="B28" s="233" t="s">
        <v>449</v>
      </c>
      <c r="C28" s="292">
        <v>92419</v>
      </c>
      <c r="D28" s="232" t="s">
        <v>347</v>
      </c>
      <c r="E28" s="292" t="s">
        <v>29</v>
      </c>
      <c r="F28" s="262">
        <v>78.95</v>
      </c>
      <c r="G28" s="262">
        <v>97.09</v>
      </c>
      <c r="H28" s="293">
        <f t="shared" ref="H28:H38" si="4">TRUNC(G28+(G28*$I$4),2)</f>
        <v>122.56</v>
      </c>
      <c r="I28" s="725">
        <f t="shared" ref="I28:I38" si="5">TRUNC(H28*F28,2)</f>
        <v>9676.11</v>
      </c>
      <c r="J28" s="735">
        <v>78.95</v>
      </c>
    </row>
    <row r="29" spans="1:28" ht="55.5" hidden="1" customHeight="1" x14ac:dyDescent="0.3">
      <c r="A29" s="233" t="s">
        <v>276</v>
      </c>
      <c r="B29" s="233" t="s">
        <v>450</v>
      </c>
      <c r="C29" s="292">
        <v>92459</v>
      </c>
      <c r="D29" s="232" t="s">
        <v>447</v>
      </c>
      <c r="E29" s="292" t="s">
        <v>29</v>
      </c>
      <c r="F29" s="262">
        <v>56.24</v>
      </c>
      <c r="G29" s="262">
        <v>146.54</v>
      </c>
      <c r="H29" s="293">
        <f t="shared" si="4"/>
        <v>184.99</v>
      </c>
      <c r="I29" s="725">
        <f t="shared" si="5"/>
        <v>10403.83</v>
      </c>
      <c r="J29" s="735">
        <v>56.24</v>
      </c>
    </row>
    <row r="30" spans="1:28" ht="58.5" hidden="1" customHeight="1" x14ac:dyDescent="0.3">
      <c r="A30" s="233" t="s">
        <v>276</v>
      </c>
      <c r="B30" s="233" t="s">
        <v>715</v>
      </c>
      <c r="C30" s="292">
        <v>92759</v>
      </c>
      <c r="D30" s="232" t="s">
        <v>348</v>
      </c>
      <c r="E30" s="292" t="s">
        <v>343</v>
      </c>
      <c r="F30" s="262">
        <v>719.2</v>
      </c>
      <c r="G30" s="262">
        <v>14.05</v>
      </c>
      <c r="H30" s="293">
        <f t="shared" si="4"/>
        <v>17.73</v>
      </c>
      <c r="I30" s="725">
        <f t="shared" si="5"/>
        <v>12751.41</v>
      </c>
      <c r="J30" s="735">
        <v>719.2</v>
      </c>
    </row>
    <row r="31" spans="1:28" ht="54" hidden="1" customHeight="1" x14ac:dyDescent="0.3">
      <c r="A31" s="233" t="s">
        <v>276</v>
      </c>
      <c r="B31" s="233" t="s">
        <v>716</v>
      </c>
      <c r="C31" s="292">
        <v>92761</v>
      </c>
      <c r="D31" s="232" t="s">
        <v>349</v>
      </c>
      <c r="E31" s="292" t="s">
        <v>343</v>
      </c>
      <c r="F31" s="262">
        <v>2806.35</v>
      </c>
      <c r="G31" s="262">
        <v>12.52</v>
      </c>
      <c r="H31" s="293">
        <f t="shared" si="4"/>
        <v>15.8</v>
      </c>
      <c r="I31" s="725">
        <f t="shared" si="5"/>
        <v>44340.33</v>
      </c>
      <c r="J31" s="735">
        <v>2806.35</v>
      </c>
    </row>
    <row r="32" spans="1:28" ht="54" hidden="1" customHeight="1" x14ac:dyDescent="0.3">
      <c r="A32" s="233" t="s">
        <v>276</v>
      </c>
      <c r="B32" s="233" t="s">
        <v>451</v>
      </c>
      <c r="C32" s="292">
        <v>92762</v>
      </c>
      <c r="D32" s="232" t="s">
        <v>350</v>
      </c>
      <c r="E32" s="292" t="s">
        <v>343</v>
      </c>
      <c r="F32" s="262">
        <v>1364.1</v>
      </c>
      <c r="G32" s="262">
        <v>11.2</v>
      </c>
      <c r="H32" s="293">
        <f t="shared" si="4"/>
        <v>14.13</v>
      </c>
      <c r="I32" s="725">
        <f t="shared" si="5"/>
        <v>19274.73</v>
      </c>
      <c r="J32" s="735">
        <v>1364.1</v>
      </c>
    </row>
    <row r="33" spans="1:28" ht="54" hidden="1" customHeight="1" x14ac:dyDescent="0.3">
      <c r="A33" s="233" t="s">
        <v>276</v>
      </c>
      <c r="B33" s="233" t="s">
        <v>451</v>
      </c>
      <c r="C33" s="292">
        <v>92763</v>
      </c>
      <c r="D33" s="232" t="s">
        <v>870</v>
      </c>
      <c r="E33" s="292" t="s">
        <v>343</v>
      </c>
      <c r="F33" s="262">
        <v>166.9</v>
      </c>
      <c r="G33" s="262">
        <v>9.42</v>
      </c>
      <c r="H33" s="293">
        <f t="shared" si="4"/>
        <v>11.89</v>
      </c>
      <c r="I33" s="725">
        <f t="shared" si="5"/>
        <v>1984.44</v>
      </c>
      <c r="J33" s="735">
        <v>166.9</v>
      </c>
    </row>
    <row r="34" spans="1:28" ht="54" hidden="1" customHeight="1" x14ac:dyDescent="0.3">
      <c r="A34" s="233" t="s">
        <v>276</v>
      </c>
      <c r="B34" s="233" t="s">
        <v>451</v>
      </c>
      <c r="C34" s="292">
        <v>92764</v>
      </c>
      <c r="D34" s="232" t="s">
        <v>871</v>
      </c>
      <c r="E34" s="292" t="s">
        <v>343</v>
      </c>
      <c r="F34" s="262">
        <v>451.4</v>
      </c>
      <c r="G34" s="262">
        <v>9.1199999999999992</v>
      </c>
      <c r="H34" s="293">
        <f t="shared" si="4"/>
        <v>11.51</v>
      </c>
      <c r="I34" s="725">
        <f t="shared" si="5"/>
        <v>5195.6099999999997</v>
      </c>
      <c r="J34" s="735">
        <v>451.4</v>
      </c>
    </row>
    <row r="35" spans="1:28" ht="54" hidden="1" customHeight="1" x14ac:dyDescent="0.3">
      <c r="A35" s="233" t="s">
        <v>276</v>
      </c>
      <c r="B35" s="233" t="s">
        <v>451</v>
      </c>
      <c r="C35" s="292">
        <v>92765</v>
      </c>
      <c r="D35" s="232" t="s">
        <v>872</v>
      </c>
      <c r="E35" s="292" t="s">
        <v>343</v>
      </c>
      <c r="F35" s="262">
        <v>388.2</v>
      </c>
      <c r="G35" s="262">
        <v>10.39</v>
      </c>
      <c r="H35" s="293">
        <f t="shared" si="4"/>
        <v>13.11</v>
      </c>
      <c r="I35" s="725">
        <f t="shared" si="5"/>
        <v>5089.3</v>
      </c>
      <c r="J35" s="735">
        <v>388.2</v>
      </c>
    </row>
    <row r="36" spans="1:28" ht="54" hidden="1" customHeight="1" x14ac:dyDescent="0.3">
      <c r="A36" s="233" t="s">
        <v>276</v>
      </c>
      <c r="B36" s="233" t="s">
        <v>451</v>
      </c>
      <c r="C36" s="292">
        <v>92760</v>
      </c>
      <c r="D36" s="232" t="s">
        <v>873</v>
      </c>
      <c r="E36" s="292" t="s">
        <v>343</v>
      </c>
      <c r="F36" s="262">
        <v>124.4</v>
      </c>
      <c r="G36" s="262">
        <v>13.3</v>
      </c>
      <c r="H36" s="293">
        <f t="shared" si="4"/>
        <v>16.78</v>
      </c>
      <c r="I36" s="725">
        <f t="shared" si="5"/>
        <v>2087.4299999999998</v>
      </c>
      <c r="J36" s="735">
        <v>124.4</v>
      </c>
    </row>
    <row r="37" spans="1:28" ht="42.5" hidden="1" customHeight="1" x14ac:dyDescent="0.3">
      <c r="A37" s="233" t="s">
        <v>276</v>
      </c>
      <c r="B37" s="233" t="s">
        <v>452</v>
      </c>
      <c r="C37" s="292">
        <v>94971</v>
      </c>
      <c r="D37" s="232" t="s">
        <v>688</v>
      </c>
      <c r="E37" s="292" t="s">
        <v>32</v>
      </c>
      <c r="F37" s="262">
        <v>77</v>
      </c>
      <c r="G37" s="262">
        <v>591.05999999999995</v>
      </c>
      <c r="H37" s="293">
        <f t="shared" si="4"/>
        <v>746.15</v>
      </c>
      <c r="I37" s="725">
        <f t="shared" si="5"/>
        <v>57453.55</v>
      </c>
      <c r="J37" s="735">
        <v>77</v>
      </c>
    </row>
    <row r="38" spans="1:28" ht="46.5" hidden="1" customHeight="1" x14ac:dyDescent="0.35">
      <c r="A38" s="233" t="s">
        <v>276</v>
      </c>
      <c r="B38" s="233" t="s">
        <v>453</v>
      </c>
      <c r="C38" s="233">
        <v>103670</v>
      </c>
      <c r="D38" s="232" t="s">
        <v>687</v>
      </c>
      <c r="E38" s="292" t="s">
        <v>32</v>
      </c>
      <c r="F38" s="262">
        <v>77</v>
      </c>
      <c r="G38" s="262">
        <v>287.23</v>
      </c>
      <c r="H38" s="293">
        <f t="shared" si="4"/>
        <v>362.59</v>
      </c>
      <c r="I38" s="725">
        <f t="shared" si="5"/>
        <v>27919.43</v>
      </c>
      <c r="J38" s="735">
        <v>77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</row>
    <row r="39" spans="1:28" hidden="1" x14ac:dyDescent="0.3">
      <c r="A39" s="288"/>
      <c r="B39" s="288"/>
      <c r="C39" s="288"/>
      <c r="D39" s="289" t="s">
        <v>874</v>
      </c>
      <c r="E39" s="288"/>
      <c r="F39" s="290"/>
      <c r="G39" s="290"/>
      <c r="H39" s="291"/>
      <c r="I39" s="726"/>
      <c r="J39" s="732"/>
    </row>
    <row r="40" spans="1:28" ht="39.75" hidden="1" customHeight="1" x14ac:dyDescent="0.3">
      <c r="A40" s="233" t="s">
        <v>276</v>
      </c>
      <c r="B40" s="292" t="s">
        <v>40</v>
      </c>
      <c r="C40" s="292">
        <v>104918</v>
      </c>
      <c r="D40" s="232" t="s">
        <v>629</v>
      </c>
      <c r="E40" s="292" t="s">
        <v>343</v>
      </c>
      <c r="F40" s="262">
        <v>455.04</v>
      </c>
      <c r="G40" s="262">
        <v>14.34</v>
      </c>
      <c r="H40" s="293">
        <f t="shared" ref="H40:H42" si="6">TRUNC(G40+(G40*$I$4),2)</f>
        <v>18.100000000000001</v>
      </c>
      <c r="I40" s="725">
        <f>TRUNC(H40*F40,2)</f>
        <v>8236.2199999999993</v>
      </c>
      <c r="J40" s="735">
        <v>455.04</v>
      </c>
    </row>
    <row r="41" spans="1:28" ht="42" hidden="1" x14ac:dyDescent="0.35">
      <c r="A41" s="233" t="s">
        <v>276</v>
      </c>
      <c r="B41" s="292" t="s">
        <v>448</v>
      </c>
      <c r="C41" s="233">
        <v>94972</v>
      </c>
      <c r="D41" s="232" t="s">
        <v>684</v>
      </c>
      <c r="E41" s="233" t="s">
        <v>32</v>
      </c>
      <c r="F41" s="165">
        <v>17.28</v>
      </c>
      <c r="G41" s="262">
        <v>611.04</v>
      </c>
      <c r="H41" s="293">
        <f t="shared" si="6"/>
        <v>771.37</v>
      </c>
      <c r="I41" s="725">
        <f t="shared" ref="I41:I42" si="7">TRUNC(H41*F41,2)</f>
        <v>13329.27</v>
      </c>
      <c r="J41" s="735">
        <v>17.28</v>
      </c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</row>
    <row r="42" spans="1:28" ht="28" hidden="1" x14ac:dyDescent="0.35">
      <c r="A42" s="233" t="s">
        <v>276</v>
      </c>
      <c r="B42" s="292" t="s">
        <v>714</v>
      </c>
      <c r="C42" s="233">
        <v>96558</v>
      </c>
      <c r="D42" s="232" t="s">
        <v>685</v>
      </c>
      <c r="E42" s="233" t="s">
        <v>32</v>
      </c>
      <c r="F42" s="165">
        <v>17.28</v>
      </c>
      <c r="G42" s="262">
        <v>1036.24</v>
      </c>
      <c r="H42" s="293">
        <f t="shared" si="6"/>
        <v>1308.1400000000001</v>
      </c>
      <c r="I42" s="725">
        <f t="shared" si="7"/>
        <v>22604.65</v>
      </c>
      <c r="J42" s="735">
        <v>17.28</v>
      </c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</row>
    <row r="43" spans="1:28" ht="14.5" hidden="1" x14ac:dyDescent="0.35">
      <c r="A43" s="288"/>
      <c r="B43" s="288"/>
      <c r="C43" s="288"/>
      <c r="D43" s="289" t="s">
        <v>876</v>
      </c>
      <c r="E43" s="288"/>
      <c r="F43" s="290"/>
      <c r="G43" s="290"/>
      <c r="H43" s="291"/>
      <c r="I43" s="726"/>
      <c r="J43" s="732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</row>
    <row r="44" spans="1:28" ht="42" hidden="1" x14ac:dyDescent="0.35">
      <c r="A44" s="233" t="s">
        <v>276</v>
      </c>
      <c r="B44" s="233" t="s">
        <v>717</v>
      </c>
      <c r="C44" s="233">
        <v>102073</v>
      </c>
      <c r="D44" s="232" t="s">
        <v>877</v>
      </c>
      <c r="E44" s="292" t="s">
        <v>32</v>
      </c>
      <c r="F44" s="262">
        <v>1.4256</v>
      </c>
      <c r="G44" s="262">
        <v>4152.5</v>
      </c>
      <c r="H44" s="293">
        <f>TRUNC(G44+(G44*$I$4),2)</f>
        <v>5242.1099999999997</v>
      </c>
      <c r="I44" s="725">
        <f>TRUNC(H44*F44,2)</f>
        <v>7473.15</v>
      </c>
      <c r="J44" s="735">
        <v>1.4256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</row>
    <row r="45" spans="1:28" ht="14.5" hidden="1" x14ac:dyDescent="0.35">
      <c r="A45" s="288"/>
      <c r="B45" s="288"/>
      <c r="C45" s="288"/>
      <c r="D45" s="289" t="s">
        <v>351</v>
      </c>
      <c r="E45" s="288"/>
      <c r="F45" s="290"/>
      <c r="G45" s="290"/>
      <c r="H45" s="291"/>
      <c r="I45" s="726"/>
      <c r="J45" s="732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</row>
    <row r="46" spans="1:28" ht="14.5" hidden="1" x14ac:dyDescent="0.35">
      <c r="A46" s="718"/>
      <c r="B46" s="718"/>
      <c r="C46" s="718"/>
      <c r="D46" s="719" t="s">
        <v>352</v>
      </c>
      <c r="E46" s="718"/>
      <c r="F46" s="720"/>
      <c r="G46" s="720"/>
      <c r="H46" s="721"/>
      <c r="I46" s="728"/>
      <c r="J46" s="734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</row>
    <row r="47" spans="1:28" ht="28" hidden="1" x14ac:dyDescent="0.35">
      <c r="A47" s="233" t="s">
        <v>276</v>
      </c>
      <c r="B47" s="233" t="s">
        <v>717</v>
      </c>
      <c r="C47" s="233">
        <v>98557</v>
      </c>
      <c r="D47" s="232" t="s">
        <v>353</v>
      </c>
      <c r="E47" s="292" t="s">
        <v>29</v>
      </c>
      <c r="F47" s="262">
        <v>64.849999999999994</v>
      </c>
      <c r="G47" s="262">
        <v>41.97</v>
      </c>
      <c r="H47" s="293">
        <f>TRUNC(G47+(G47*$I$4),2)</f>
        <v>52.98</v>
      </c>
      <c r="I47" s="725">
        <f>TRUNC(H47*F47,2)</f>
        <v>3435.75</v>
      </c>
      <c r="J47" s="735">
        <v>64.849999999999994</v>
      </c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1:28" ht="14.5" hidden="1" x14ac:dyDescent="0.35">
      <c r="A48" s="713"/>
      <c r="B48" s="713" t="s">
        <v>11</v>
      </c>
      <c r="C48" s="716"/>
      <c r="D48" s="297" t="s">
        <v>324</v>
      </c>
      <c r="E48" s="716"/>
      <c r="F48" s="717"/>
      <c r="G48" s="717"/>
      <c r="H48" s="715"/>
      <c r="I48" s="727">
        <f>SUM(I50:I52)</f>
        <v>179214.19</v>
      </c>
      <c r="J48" s="733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</row>
    <row r="49" spans="1:28" ht="14.5" hidden="1" x14ac:dyDescent="0.35">
      <c r="A49" s="288"/>
      <c r="B49" s="288"/>
      <c r="C49" s="288"/>
      <c r="D49" s="289" t="s">
        <v>638</v>
      </c>
      <c r="E49" s="288"/>
      <c r="F49" s="290"/>
      <c r="G49" s="290"/>
      <c r="H49" s="291"/>
      <c r="I49" s="726"/>
      <c r="J49" s="732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28" ht="56" x14ac:dyDescent="0.35">
      <c r="A50" s="233" t="s">
        <v>276</v>
      </c>
      <c r="B50" s="233" t="s">
        <v>283</v>
      </c>
      <c r="C50" s="292">
        <v>103330</v>
      </c>
      <c r="D50" s="232" t="s">
        <v>689</v>
      </c>
      <c r="E50" s="292" t="s">
        <v>29</v>
      </c>
      <c r="F50" s="262">
        <v>1319.73</v>
      </c>
      <c r="G50" s="262">
        <v>86.35</v>
      </c>
      <c r="H50" s="293">
        <f>TRUNC(G50+(G50*$I$4),2)</f>
        <v>109</v>
      </c>
      <c r="I50" s="725">
        <f>TRUNC(H50*F50,2)</f>
        <v>143850.57</v>
      </c>
      <c r="J50" s="735">
        <f>F50*0.5</f>
        <v>659.86500000000001</v>
      </c>
      <c r="K50" s="180">
        <f>10.91+10.25+19.37+19.37+10.25+10.91+61.07+7.1+16.5+16.5+6.59+44.53</f>
        <v>233.35</v>
      </c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</row>
    <row r="51" spans="1:28" ht="14.5" hidden="1" x14ac:dyDescent="0.35">
      <c r="A51" s="288"/>
      <c r="B51" s="288"/>
      <c r="C51" s="288"/>
      <c r="D51" s="289" t="s">
        <v>805</v>
      </c>
      <c r="E51" s="288"/>
      <c r="F51" s="290"/>
      <c r="G51" s="290"/>
      <c r="H51" s="291"/>
      <c r="I51" s="726"/>
      <c r="J51" s="735">
        <f t="shared" ref="J51:J91" si="8">F51*0.5</f>
        <v>0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28" ht="42" hidden="1" x14ac:dyDescent="0.35">
      <c r="A52" s="233" t="s">
        <v>276</v>
      </c>
      <c r="B52" s="233" t="s">
        <v>817</v>
      </c>
      <c r="C52" s="292">
        <v>102253</v>
      </c>
      <c r="D52" s="232" t="s">
        <v>806</v>
      </c>
      <c r="E52" s="292" t="s">
        <v>29</v>
      </c>
      <c r="F52" s="262">
        <v>33.06</v>
      </c>
      <c r="G52" s="262">
        <v>847.34</v>
      </c>
      <c r="H52" s="293">
        <f>TRUNC(G52+(G52*$I$4),2)</f>
        <v>1069.68</v>
      </c>
      <c r="I52" s="725">
        <f>TRUNC(H52*F52,2)</f>
        <v>35363.620000000003</v>
      </c>
      <c r="J52" s="735">
        <f t="shared" si="8"/>
        <v>16.53</v>
      </c>
      <c r="K52" s="180">
        <f>10.91+10.25+19.37+19.37+10.25+10.91+61.07+7.1+16.5+16.5+6.59+44.53</f>
        <v>233.35</v>
      </c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</row>
    <row r="53" spans="1:28" ht="14.5" hidden="1" x14ac:dyDescent="0.35">
      <c r="A53" s="713"/>
      <c r="B53" s="713" t="s">
        <v>279</v>
      </c>
      <c r="C53" s="716"/>
      <c r="D53" s="297" t="s">
        <v>318</v>
      </c>
      <c r="E53" s="716"/>
      <c r="F53" s="717"/>
      <c r="G53" s="717"/>
      <c r="H53" s="715"/>
      <c r="I53" s="727">
        <f>SUM(I54:I56)</f>
        <v>109037.64</v>
      </c>
      <c r="J53" s="735">
        <f t="shared" si="8"/>
        <v>0</v>
      </c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</row>
    <row r="54" spans="1:28" ht="56" hidden="1" x14ac:dyDescent="0.35">
      <c r="A54" s="233" t="s">
        <v>276</v>
      </c>
      <c r="B54" s="233" t="s">
        <v>299</v>
      </c>
      <c r="C54" s="292">
        <v>87879</v>
      </c>
      <c r="D54" s="232" t="s">
        <v>278</v>
      </c>
      <c r="E54" s="292" t="s">
        <v>29</v>
      </c>
      <c r="F54" s="262">
        <f>F50*2</f>
        <v>2639.46</v>
      </c>
      <c r="G54" s="262">
        <v>4.5199999999999996</v>
      </c>
      <c r="H54" s="293">
        <f>TRUNC(G54+(G54*$I$4),2)</f>
        <v>5.7</v>
      </c>
      <c r="I54" s="725">
        <f>TRUNC(H54*F54,2)</f>
        <v>15044.92</v>
      </c>
      <c r="J54" s="735">
        <f t="shared" si="8"/>
        <v>1319.73</v>
      </c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</row>
    <row r="55" spans="1:28" ht="59.65" hidden="1" customHeight="1" x14ac:dyDescent="0.35">
      <c r="A55" s="233" t="s">
        <v>276</v>
      </c>
      <c r="B55" s="233" t="s">
        <v>718</v>
      </c>
      <c r="C55" s="292">
        <v>87553</v>
      </c>
      <c r="D55" s="232" t="s">
        <v>645</v>
      </c>
      <c r="E55" s="292" t="s">
        <v>29</v>
      </c>
      <c r="F55" s="262">
        <f>F54-F56</f>
        <v>2086.0169999999998</v>
      </c>
      <c r="G55" s="262">
        <v>22.23</v>
      </c>
      <c r="H55" s="293">
        <f>TRUNC(G55+(G55*$I$4),2)</f>
        <v>28.06</v>
      </c>
      <c r="I55" s="725">
        <f>TRUNC(H55*F55,2)</f>
        <v>58533.63</v>
      </c>
      <c r="J55" s="735">
        <f t="shared" si="8"/>
        <v>1043.0084999999999</v>
      </c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  <c r="AB55" s="180"/>
    </row>
    <row r="56" spans="1:28" ht="72" hidden="1" customHeight="1" x14ac:dyDescent="0.35">
      <c r="A56" s="233" t="s">
        <v>276</v>
      </c>
      <c r="B56" s="233" t="s">
        <v>718</v>
      </c>
      <c r="C56" s="292">
        <v>104217</v>
      </c>
      <c r="D56" s="232" t="s">
        <v>788</v>
      </c>
      <c r="E56" s="292" t="s">
        <v>29</v>
      </c>
      <c r="F56" s="262">
        <v>553.44299999999998</v>
      </c>
      <c r="G56" s="262">
        <v>50.76</v>
      </c>
      <c r="H56" s="293">
        <f>TRUNC(G56+(G56*$I$4),2)</f>
        <v>64.069999999999993</v>
      </c>
      <c r="I56" s="725">
        <f>TRUNC(H56*F56,2)</f>
        <v>35459.089999999997</v>
      </c>
      <c r="J56" s="735">
        <f t="shared" si="8"/>
        <v>276.72149999999999</v>
      </c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</row>
    <row r="57" spans="1:28" ht="14.5" hidden="1" x14ac:dyDescent="0.35">
      <c r="A57" s="713"/>
      <c r="B57" s="713" t="s">
        <v>282</v>
      </c>
      <c r="C57" s="716"/>
      <c r="D57" s="297" t="s">
        <v>878</v>
      </c>
      <c r="E57" s="716"/>
      <c r="F57" s="717"/>
      <c r="G57" s="717"/>
      <c r="H57" s="715"/>
      <c r="I57" s="727">
        <f>SUM(I58:I70)</f>
        <v>971451.85999999987</v>
      </c>
      <c r="J57" s="735">
        <f t="shared" si="8"/>
        <v>0</v>
      </c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</row>
    <row r="58" spans="1:28" ht="14.5" hidden="1" x14ac:dyDescent="0.35">
      <c r="A58" s="288"/>
      <c r="B58" s="288"/>
      <c r="C58" s="288"/>
      <c r="D58" s="289" t="s">
        <v>465</v>
      </c>
      <c r="E58" s="288"/>
      <c r="F58" s="290"/>
      <c r="G58" s="290"/>
      <c r="H58" s="291"/>
      <c r="I58" s="726"/>
      <c r="J58" s="735">
        <f t="shared" si="8"/>
        <v>0</v>
      </c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</row>
    <row r="59" spans="1:28" ht="28" x14ac:dyDescent="0.35">
      <c r="A59" s="233" t="s">
        <v>276</v>
      </c>
      <c r="B59" s="233" t="s">
        <v>457</v>
      </c>
      <c r="C59" s="292">
        <v>94213</v>
      </c>
      <c r="D59" s="232" t="s">
        <v>867</v>
      </c>
      <c r="E59" s="292" t="s">
        <v>29</v>
      </c>
      <c r="F59" s="722">
        <v>4071.07</v>
      </c>
      <c r="G59" s="262">
        <v>60.73</v>
      </c>
      <c r="H59" s="293">
        <f>TRUNC(G59+(G59*$I$4),2)</f>
        <v>76.66</v>
      </c>
      <c r="I59" s="725">
        <f>TRUNC(H59*F59,2)</f>
        <v>312088.21999999997</v>
      </c>
      <c r="J59" s="735">
        <f t="shared" si="8"/>
        <v>2035.5350000000001</v>
      </c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</row>
    <row r="60" spans="1:28" ht="56" x14ac:dyDescent="0.35">
      <c r="A60" s="233" t="s">
        <v>276</v>
      </c>
      <c r="B60" s="233" t="s">
        <v>458</v>
      </c>
      <c r="C60" s="292">
        <v>92580</v>
      </c>
      <c r="D60" s="232" t="s">
        <v>868</v>
      </c>
      <c r="E60" s="292" t="s">
        <v>29</v>
      </c>
      <c r="F60" s="722">
        <v>4071.07</v>
      </c>
      <c r="G60" s="262">
        <v>46.31</v>
      </c>
      <c r="H60" s="293">
        <f>TRUNC(G60+(G60*$I$4),2)</f>
        <v>58.46</v>
      </c>
      <c r="I60" s="725">
        <f>TRUNC(H60*F60,2)</f>
        <v>237994.75</v>
      </c>
      <c r="J60" s="735">
        <f t="shared" si="8"/>
        <v>2035.5350000000001</v>
      </c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</row>
    <row r="61" spans="1:28" ht="56" hidden="1" x14ac:dyDescent="0.35">
      <c r="A61" s="233" t="s">
        <v>276</v>
      </c>
      <c r="B61" s="233" t="s">
        <v>459</v>
      </c>
      <c r="C61" s="292">
        <v>92608</v>
      </c>
      <c r="D61" s="232" t="s">
        <v>879</v>
      </c>
      <c r="E61" s="233" t="s">
        <v>42</v>
      </c>
      <c r="F61" s="722">
        <v>1</v>
      </c>
      <c r="G61" s="262">
        <v>1100.06</v>
      </c>
      <c r="H61" s="293">
        <f>TRUNC(G61+(G61*$I$4),2)</f>
        <v>1388.71</v>
      </c>
      <c r="I61" s="725">
        <f>TRUNC(H61*F61,2)</f>
        <v>1388.71</v>
      </c>
      <c r="J61" s="735">
        <f t="shared" si="8"/>
        <v>0.5</v>
      </c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</row>
    <row r="62" spans="1:28" ht="56" hidden="1" x14ac:dyDescent="0.35">
      <c r="A62" s="233" t="s">
        <v>276</v>
      </c>
      <c r="B62" s="233" t="s">
        <v>459</v>
      </c>
      <c r="C62" s="292">
        <v>92620</v>
      </c>
      <c r="D62" s="232" t="s">
        <v>815</v>
      </c>
      <c r="E62" s="233" t="s">
        <v>42</v>
      </c>
      <c r="F62" s="722">
        <v>7</v>
      </c>
      <c r="G62" s="262">
        <v>1994.24</v>
      </c>
      <c r="H62" s="293">
        <f>TRUNC(G62+(G62*$I$4),2)</f>
        <v>2517.52</v>
      </c>
      <c r="I62" s="725">
        <f>TRUNC(H62*F62,2)</f>
        <v>17622.64</v>
      </c>
      <c r="J62" s="735">
        <f t="shared" si="8"/>
        <v>3.5</v>
      </c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</row>
    <row r="63" spans="1:28" ht="56" x14ac:dyDescent="0.35">
      <c r="A63" s="233" t="s">
        <v>276</v>
      </c>
      <c r="B63" s="233" t="s">
        <v>818</v>
      </c>
      <c r="C63" s="292" t="s">
        <v>772</v>
      </c>
      <c r="D63" s="232" t="s">
        <v>880</v>
      </c>
      <c r="E63" s="233" t="s">
        <v>42</v>
      </c>
      <c r="F63" s="722">
        <v>42</v>
      </c>
      <c r="G63" s="262">
        <v>2428</v>
      </c>
      <c r="H63" s="293">
        <f>TRUNC(G63+(G63*$I$4),2)</f>
        <v>3065.1</v>
      </c>
      <c r="I63" s="725">
        <f>TRUNC(H63*F63,2)</f>
        <v>128734.2</v>
      </c>
      <c r="J63" s="735">
        <f t="shared" si="8"/>
        <v>21</v>
      </c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</row>
    <row r="64" spans="1:28" ht="14.5" hidden="1" x14ac:dyDescent="0.35">
      <c r="A64" s="288"/>
      <c r="B64" s="288"/>
      <c r="C64" s="288"/>
      <c r="D64" s="289" t="s">
        <v>796</v>
      </c>
      <c r="E64" s="288"/>
      <c r="F64" s="290"/>
      <c r="G64" s="290"/>
      <c r="H64" s="291"/>
      <c r="I64" s="726"/>
      <c r="J64" s="735">
        <f t="shared" si="8"/>
        <v>0</v>
      </c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</row>
    <row r="65" spans="1:28" ht="28" hidden="1" x14ac:dyDescent="0.35">
      <c r="A65" s="233" t="s">
        <v>276</v>
      </c>
      <c r="B65" s="233" t="s">
        <v>819</v>
      </c>
      <c r="C65" s="292">
        <v>94231</v>
      </c>
      <c r="D65" s="232" t="s">
        <v>797</v>
      </c>
      <c r="E65" s="292" t="s">
        <v>41</v>
      </c>
      <c r="F65" s="722">
        <v>15.15</v>
      </c>
      <c r="G65" s="262">
        <v>55.16</v>
      </c>
      <c r="H65" s="293">
        <f>TRUNC(G65+(G65*$I$4),2)</f>
        <v>69.63</v>
      </c>
      <c r="I65" s="725">
        <f>TRUNC(H65*F65,2)</f>
        <v>1054.8900000000001</v>
      </c>
      <c r="J65" s="735">
        <f t="shared" si="8"/>
        <v>7.5750000000000002</v>
      </c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</row>
    <row r="66" spans="1:28" ht="28" hidden="1" x14ac:dyDescent="0.35">
      <c r="A66" s="233" t="s">
        <v>276</v>
      </c>
      <c r="B66" s="233" t="s">
        <v>820</v>
      </c>
      <c r="C66" s="292">
        <v>101979</v>
      </c>
      <c r="D66" s="232" t="s">
        <v>798</v>
      </c>
      <c r="E66" s="292" t="s">
        <v>41</v>
      </c>
      <c r="F66" s="722">
        <v>44.1</v>
      </c>
      <c r="G66" s="262">
        <v>47.2</v>
      </c>
      <c r="H66" s="293">
        <f>TRUNC(G66+(G66*$I$4),2)</f>
        <v>59.58</v>
      </c>
      <c r="I66" s="725">
        <f>TRUNC(H66*F66,2)</f>
        <v>2627.47</v>
      </c>
      <c r="J66" s="735">
        <f t="shared" si="8"/>
        <v>22.05</v>
      </c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</row>
    <row r="67" spans="1:28" ht="14.5" hidden="1" x14ac:dyDescent="0.35">
      <c r="A67" s="288"/>
      <c r="B67" s="288"/>
      <c r="C67" s="288"/>
      <c r="D67" s="289" t="s">
        <v>901</v>
      </c>
      <c r="E67" s="288"/>
      <c r="F67" s="290"/>
      <c r="G67" s="290"/>
      <c r="H67" s="291"/>
      <c r="I67" s="726"/>
      <c r="J67" s="735">
        <f t="shared" si="8"/>
        <v>0</v>
      </c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</row>
    <row r="68" spans="1:28" ht="56" x14ac:dyDescent="0.35">
      <c r="A68" s="233" t="s">
        <v>276</v>
      </c>
      <c r="B68" s="233" t="s">
        <v>821</v>
      </c>
      <c r="C68" s="233">
        <v>100766</v>
      </c>
      <c r="D68" s="232" t="s">
        <v>902</v>
      </c>
      <c r="E68" s="292" t="s">
        <v>61</v>
      </c>
      <c r="F68" s="165">
        <v>14558.4</v>
      </c>
      <c r="G68" s="262">
        <v>14.07</v>
      </c>
      <c r="H68" s="293">
        <f>TRUNC(G68+(G68*$I$4),2)</f>
        <v>17.760000000000002</v>
      </c>
      <c r="I68" s="725">
        <f>TRUNC(H68*F68,2)</f>
        <v>258557.18</v>
      </c>
      <c r="J68" s="735">
        <f t="shared" si="8"/>
        <v>7279.2</v>
      </c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</row>
    <row r="69" spans="1:28" ht="14.5" hidden="1" x14ac:dyDescent="0.35">
      <c r="A69" s="288"/>
      <c r="B69" s="288"/>
      <c r="C69" s="288"/>
      <c r="D69" s="289" t="s">
        <v>356</v>
      </c>
      <c r="E69" s="288"/>
      <c r="F69" s="290"/>
      <c r="G69" s="290"/>
      <c r="H69" s="291"/>
      <c r="I69" s="726"/>
      <c r="J69" s="735">
        <f t="shared" si="8"/>
        <v>0</v>
      </c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</row>
    <row r="70" spans="1:28" ht="42" hidden="1" x14ac:dyDescent="0.35">
      <c r="A70" s="233" t="s">
        <v>276</v>
      </c>
      <c r="B70" s="233" t="s">
        <v>822</v>
      </c>
      <c r="C70" s="292">
        <v>96486</v>
      </c>
      <c r="D70" s="232" t="s">
        <v>881</v>
      </c>
      <c r="E70" s="292" t="s">
        <v>41</v>
      </c>
      <c r="F70" s="722">
        <v>122.71</v>
      </c>
      <c r="G70" s="262">
        <v>73.489999999999995</v>
      </c>
      <c r="H70" s="293">
        <f>TRUNC(G70+(G70*$I$4),2)</f>
        <v>92.77</v>
      </c>
      <c r="I70" s="725">
        <f>TRUNC(H70*F70,2)</f>
        <v>11383.8</v>
      </c>
      <c r="J70" s="735">
        <f t="shared" si="8"/>
        <v>61.354999999999997</v>
      </c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</row>
    <row r="71" spans="1:28" ht="14.5" hidden="1" x14ac:dyDescent="0.35">
      <c r="A71" s="713"/>
      <c r="B71" s="713" t="s">
        <v>284</v>
      </c>
      <c r="C71" s="716"/>
      <c r="D71" s="297" t="s">
        <v>355</v>
      </c>
      <c r="E71" s="716"/>
      <c r="F71" s="717"/>
      <c r="G71" s="717"/>
      <c r="H71" s="715"/>
      <c r="I71" s="727">
        <f>SUM(I72:I83)</f>
        <v>88157.200000000012</v>
      </c>
      <c r="J71" s="735">
        <f t="shared" si="8"/>
        <v>0</v>
      </c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</row>
    <row r="72" spans="1:28" ht="14.5" hidden="1" x14ac:dyDescent="0.35">
      <c r="A72" s="288"/>
      <c r="B72" s="288"/>
      <c r="C72" s="288"/>
      <c r="D72" s="289" t="s">
        <v>354</v>
      </c>
      <c r="E72" s="288"/>
      <c r="F72" s="290"/>
      <c r="G72" s="290"/>
      <c r="H72" s="291"/>
      <c r="I72" s="726"/>
      <c r="J72" s="735">
        <f t="shared" si="8"/>
        <v>0</v>
      </c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</row>
    <row r="73" spans="1:28" ht="28" hidden="1" x14ac:dyDescent="0.35">
      <c r="A73" s="233" t="s">
        <v>276</v>
      </c>
      <c r="B73" s="233" t="s">
        <v>460</v>
      </c>
      <c r="C73" s="233">
        <v>93184</v>
      </c>
      <c r="D73" s="232" t="s">
        <v>704</v>
      </c>
      <c r="E73" s="233" t="s">
        <v>41</v>
      </c>
      <c r="F73" s="262">
        <v>67</v>
      </c>
      <c r="G73" s="262">
        <v>29.9</v>
      </c>
      <c r="H73" s="293">
        <f>TRUNC(G73+(G73*$I$4),2)</f>
        <v>37.74</v>
      </c>
      <c r="I73" s="725">
        <f>TRUNC(H73*F73,2)</f>
        <v>2528.58</v>
      </c>
      <c r="J73" s="735">
        <f t="shared" si="8"/>
        <v>33.5</v>
      </c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</row>
    <row r="74" spans="1:28" ht="28" hidden="1" x14ac:dyDescent="0.35">
      <c r="A74" s="233" t="s">
        <v>276</v>
      </c>
      <c r="B74" s="233" t="s">
        <v>706</v>
      </c>
      <c r="C74" s="233">
        <v>93194</v>
      </c>
      <c r="D74" s="232" t="s">
        <v>705</v>
      </c>
      <c r="E74" s="233" t="s">
        <v>41</v>
      </c>
      <c r="F74" s="262">
        <v>34.4</v>
      </c>
      <c r="G74" s="262">
        <v>29.24</v>
      </c>
      <c r="H74" s="293">
        <f>TRUNC(G74+(G74*$I$4),2)</f>
        <v>36.909999999999997</v>
      </c>
      <c r="I74" s="725">
        <f>TRUNC(H74*F74,2)</f>
        <v>1269.7</v>
      </c>
      <c r="J74" s="735">
        <f t="shared" si="8"/>
        <v>17.2</v>
      </c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  <c r="AB74" s="180"/>
    </row>
    <row r="75" spans="1:28" ht="14.5" hidden="1" x14ac:dyDescent="0.35">
      <c r="A75" s="288"/>
      <c r="B75" s="288"/>
      <c r="C75" s="288"/>
      <c r="D75" s="289" t="s">
        <v>691</v>
      </c>
      <c r="E75" s="288"/>
      <c r="F75" s="290"/>
      <c r="G75" s="290"/>
      <c r="H75" s="291"/>
      <c r="I75" s="726"/>
      <c r="J75" s="735">
        <f t="shared" si="8"/>
        <v>0</v>
      </c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</row>
    <row r="76" spans="1:28" ht="70" hidden="1" x14ac:dyDescent="0.35">
      <c r="A76" s="233" t="s">
        <v>276</v>
      </c>
      <c r="B76" s="233" t="s">
        <v>707</v>
      </c>
      <c r="C76" s="292">
        <v>90845</v>
      </c>
      <c r="D76" s="232" t="s">
        <v>658</v>
      </c>
      <c r="E76" s="233" t="s">
        <v>42</v>
      </c>
      <c r="F76" s="165">
        <v>8</v>
      </c>
      <c r="G76" s="262">
        <v>1393.14</v>
      </c>
      <c r="H76" s="293">
        <f>TRUNC(G76+(G76*$I$4),2)</f>
        <v>1758.69</v>
      </c>
      <c r="I76" s="725">
        <f>TRUNC(H76*F76,2)</f>
        <v>14069.52</v>
      </c>
      <c r="J76" s="735">
        <f t="shared" si="8"/>
        <v>4</v>
      </c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</row>
    <row r="77" spans="1:28" ht="70" hidden="1" x14ac:dyDescent="0.35">
      <c r="A77" s="233" t="s">
        <v>276</v>
      </c>
      <c r="B77" s="233" t="s">
        <v>708</v>
      </c>
      <c r="C77" s="292">
        <v>90844</v>
      </c>
      <c r="D77" s="232" t="s">
        <v>790</v>
      </c>
      <c r="E77" s="233" t="s">
        <v>42</v>
      </c>
      <c r="F77" s="165">
        <v>3</v>
      </c>
      <c r="G77" s="262">
        <v>1196.99</v>
      </c>
      <c r="H77" s="293">
        <f>TRUNC(G77+(G77*$I$4),2)</f>
        <v>1511.08</v>
      </c>
      <c r="I77" s="725">
        <f>TRUNC(H77*F77,2)</f>
        <v>4533.24</v>
      </c>
      <c r="J77" s="735">
        <f t="shared" si="8"/>
        <v>1.5</v>
      </c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</row>
    <row r="78" spans="1:28" ht="14.5" hidden="1" x14ac:dyDescent="0.35">
      <c r="A78" s="288"/>
      <c r="B78" s="288"/>
      <c r="C78" s="288"/>
      <c r="D78" s="289" t="s">
        <v>690</v>
      </c>
      <c r="E78" s="288"/>
      <c r="F78" s="290"/>
      <c r="G78" s="290"/>
      <c r="H78" s="291"/>
      <c r="I78" s="726"/>
      <c r="J78" s="735">
        <f t="shared" si="8"/>
        <v>0</v>
      </c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</row>
    <row r="79" spans="1:28" ht="42" hidden="1" x14ac:dyDescent="0.35">
      <c r="A79" s="233" t="s">
        <v>276</v>
      </c>
      <c r="B79" s="233" t="s">
        <v>823</v>
      </c>
      <c r="C79" s="292">
        <v>91338</v>
      </c>
      <c r="D79" s="232" t="s">
        <v>791</v>
      </c>
      <c r="E79" s="233" t="s">
        <v>46</v>
      </c>
      <c r="F79" s="165">
        <v>10.34</v>
      </c>
      <c r="G79" s="262">
        <v>901.04</v>
      </c>
      <c r="H79" s="293">
        <f>TRUNC(G79+(G79*$I$4),2)</f>
        <v>1137.47</v>
      </c>
      <c r="I79" s="725">
        <f>TRUNC(H79*F79,2)</f>
        <v>11761.43</v>
      </c>
      <c r="J79" s="735">
        <f t="shared" si="8"/>
        <v>5.17</v>
      </c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</row>
    <row r="80" spans="1:28" ht="14.5" hidden="1" x14ac:dyDescent="0.35">
      <c r="A80" s="288"/>
      <c r="B80" s="288"/>
      <c r="C80" s="288"/>
      <c r="D80" s="289" t="s">
        <v>300</v>
      </c>
      <c r="E80" s="288"/>
      <c r="F80" s="290"/>
      <c r="G80" s="290"/>
      <c r="H80" s="291"/>
      <c r="I80" s="726"/>
      <c r="J80" s="735">
        <f t="shared" si="8"/>
        <v>0</v>
      </c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</row>
    <row r="81" spans="1:28" ht="84" hidden="1" x14ac:dyDescent="0.35">
      <c r="A81" s="233" t="s">
        <v>276</v>
      </c>
      <c r="B81" s="233" t="s">
        <v>824</v>
      </c>
      <c r="C81" s="233">
        <v>94570</v>
      </c>
      <c r="D81" s="232" t="s">
        <v>789</v>
      </c>
      <c r="E81" s="233" t="s">
        <v>29</v>
      </c>
      <c r="F81" s="722">
        <v>24.6</v>
      </c>
      <c r="G81" s="262">
        <v>370.8</v>
      </c>
      <c r="H81" s="293">
        <f>TRUNC(G81+(G81*$I$4),2)</f>
        <v>468.09</v>
      </c>
      <c r="I81" s="725">
        <f>TRUNC(H81*F81,2)</f>
        <v>11515.01</v>
      </c>
      <c r="J81" s="735">
        <f t="shared" si="8"/>
        <v>12.3</v>
      </c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</row>
    <row r="82" spans="1:28" ht="14.5" hidden="1" x14ac:dyDescent="0.35">
      <c r="A82" s="288"/>
      <c r="B82" s="288"/>
      <c r="C82" s="288"/>
      <c r="D82" s="289" t="s">
        <v>792</v>
      </c>
      <c r="E82" s="288"/>
      <c r="F82" s="290"/>
      <c r="G82" s="290"/>
      <c r="H82" s="291"/>
      <c r="I82" s="726"/>
      <c r="J82" s="735">
        <f t="shared" si="8"/>
        <v>0</v>
      </c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</row>
    <row r="83" spans="1:28" ht="28" hidden="1" x14ac:dyDescent="0.35">
      <c r="A83" s="233" t="s">
        <v>276</v>
      </c>
      <c r="B83" s="233" t="s">
        <v>825</v>
      </c>
      <c r="C83" s="292" t="s">
        <v>772</v>
      </c>
      <c r="D83" s="232" t="s">
        <v>793</v>
      </c>
      <c r="E83" s="233" t="s">
        <v>46</v>
      </c>
      <c r="F83" s="165">
        <v>48.65</v>
      </c>
      <c r="G83" s="262">
        <v>691.68</v>
      </c>
      <c r="H83" s="293">
        <f>TRUNC(G83+(G83*$I$4),2)</f>
        <v>873.17</v>
      </c>
      <c r="I83" s="725">
        <f>TRUNC(H83*F83,2)</f>
        <v>42479.72</v>
      </c>
      <c r="J83" s="735">
        <f t="shared" si="8"/>
        <v>24.324999999999999</v>
      </c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</row>
    <row r="84" spans="1:28" ht="14.5" hidden="1" x14ac:dyDescent="0.35">
      <c r="A84" s="713"/>
      <c r="B84" s="713" t="s">
        <v>285</v>
      </c>
      <c r="C84" s="716"/>
      <c r="D84" s="297" t="s">
        <v>280</v>
      </c>
      <c r="E84" s="716"/>
      <c r="F84" s="717"/>
      <c r="G84" s="717"/>
      <c r="H84" s="715"/>
      <c r="I84" s="727">
        <f>SUM(I85:I91)</f>
        <v>684467.44000000006</v>
      </c>
      <c r="J84" s="735">
        <f t="shared" si="8"/>
        <v>0</v>
      </c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</row>
    <row r="85" spans="1:28" ht="14.5" hidden="1" x14ac:dyDescent="0.35">
      <c r="A85" s="288"/>
      <c r="B85" s="288"/>
      <c r="C85" s="288"/>
      <c r="D85" s="289" t="s">
        <v>337</v>
      </c>
      <c r="E85" s="288"/>
      <c r="F85" s="290"/>
      <c r="G85" s="290"/>
      <c r="H85" s="291"/>
      <c r="I85" s="726"/>
      <c r="J85" s="735">
        <f t="shared" si="8"/>
        <v>0</v>
      </c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</row>
    <row r="86" spans="1:28" ht="56" hidden="1" x14ac:dyDescent="0.35">
      <c r="A86" s="233" t="s">
        <v>276</v>
      </c>
      <c r="B86" s="233" t="s">
        <v>709</v>
      </c>
      <c r="C86" s="233">
        <v>87765</v>
      </c>
      <c r="D86" s="232" t="s">
        <v>794</v>
      </c>
      <c r="E86" s="292" t="s">
        <v>29</v>
      </c>
      <c r="F86" s="262">
        <v>269.64</v>
      </c>
      <c r="G86" s="262">
        <v>50.6</v>
      </c>
      <c r="H86" s="293">
        <f>TRUNC(G86+(G86*$I$4),2)</f>
        <v>63.87</v>
      </c>
      <c r="I86" s="725">
        <f>TRUNC(H86*F86,2)</f>
        <v>17221.900000000001</v>
      </c>
      <c r="J86" s="735">
        <f t="shared" si="8"/>
        <v>134.82</v>
      </c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</row>
    <row r="87" spans="1:28" ht="14.5" hidden="1" x14ac:dyDescent="0.35">
      <c r="A87" s="288"/>
      <c r="B87" s="288"/>
      <c r="C87" s="288"/>
      <c r="D87" s="289" t="s">
        <v>884</v>
      </c>
      <c r="E87" s="288"/>
      <c r="F87" s="290"/>
      <c r="G87" s="290"/>
      <c r="H87" s="291"/>
      <c r="I87" s="726"/>
      <c r="J87" s="735">
        <f t="shared" si="8"/>
        <v>0</v>
      </c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</row>
    <row r="88" spans="1:28" ht="70" hidden="1" x14ac:dyDescent="0.35">
      <c r="A88" s="233" t="s">
        <v>276</v>
      </c>
      <c r="B88" s="233" t="s">
        <v>461</v>
      </c>
      <c r="C88" s="233">
        <v>104162</v>
      </c>
      <c r="D88" s="232" t="s">
        <v>882</v>
      </c>
      <c r="E88" s="292" t="s">
        <v>29</v>
      </c>
      <c r="F88" s="262">
        <v>269.64</v>
      </c>
      <c r="G88" s="262">
        <v>135.93</v>
      </c>
      <c r="H88" s="293">
        <f>TRUNC(G88+(G88*$I$4),2)</f>
        <v>171.59</v>
      </c>
      <c r="I88" s="725">
        <f>TRUNC(H88*F88,2)</f>
        <v>46267.519999999997</v>
      </c>
      <c r="J88" s="735">
        <f t="shared" si="8"/>
        <v>134.82</v>
      </c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</row>
    <row r="89" spans="1:28" ht="28" hidden="1" x14ac:dyDescent="0.35">
      <c r="A89" s="233" t="s">
        <v>276</v>
      </c>
      <c r="B89" s="233" t="s">
        <v>462</v>
      </c>
      <c r="C89" s="233">
        <v>101741</v>
      </c>
      <c r="D89" s="232" t="s">
        <v>883</v>
      </c>
      <c r="E89" s="292" t="s">
        <v>41</v>
      </c>
      <c r="F89" s="262">
        <v>108.32</v>
      </c>
      <c r="G89" s="262">
        <v>23.13</v>
      </c>
      <c r="H89" s="293">
        <f>TRUNC(G89+(G89*$I$4),2)</f>
        <v>29.19</v>
      </c>
      <c r="I89" s="725">
        <f>TRUNC(H89*F89,2)</f>
        <v>3161.86</v>
      </c>
      <c r="J89" s="735">
        <f t="shared" si="8"/>
        <v>54.16</v>
      </c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</row>
    <row r="90" spans="1:28" ht="14.5" hidden="1" x14ac:dyDescent="0.35">
      <c r="A90" s="288"/>
      <c r="B90" s="288"/>
      <c r="C90" s="288"/>
      <c r="D90" s="289" t="s">
        <v>885</v>
      </c>
      <c r="E90" s="288"/>
      <c r="F90" s="290"/>
      <c r="G90" s="290"/>
      <c r="H90" s="291"/>
      <c r="I90" s="726"/>
      <c r="J90" s="735">
        <f t="shared" si="8"/>
        <v>0</v>
      </c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</row>
    <row r="91" spans="1:28" ht="42" x14ac:dyDescent="0.35">
      <c r="A91" s="233" t="s">
        <v>276</v>
      </c>
      <c r="B91" s="233" t="s">
        <v>461</v>
      </c>
      <c r="C91" s="233">
        <v>94995</v>
      </c>
      <c r="D91" s="232" t="s">
        <v>869</v>
      </c>
      <c r="E91" s="292" t="s">
        <v>29</v>
      </c>
      <c r="F91" s="262">
        <v>4186.03</v>
      </c>
      <c r="G91" s="262">
        <v>116.92</v>
      </c>
      <c r="H91" s="293">
        <f>TRUNC(G91+(G91*$I$4),2)</f>
        <v>147.59</v>
      </c>
      <c r="I91" s="725">
        <f>TRUNC(H91*F91,2)</f>
        <v>617816.16</v>
      </c>
      <c r="J91" s="735">
        <f t="shared" si="8"/>
        <v>2093.0149999999999</v>
      </c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</row>
    <row r="92" spans="1:28" ht="14.5" hidden="1" x14ac:dyDescent="0.35">
      <c r="A92" s="227"/>
      <c r="B92" s="227" t="s">
        <v>281</v>
      </c>
      <c r="C92" s="227"/>
      <c r="D92" s="228" t="s">
        <v>325</v>
      </c>
      <c r="E92" s="227"/>
      <c r="F92" s="229"/>
      <c r="G92" s="229"/>
      <c r="H92" s="231"/>
      <c r="I92" s="229">
        <f>SUM(I93:I148)</f>
        <v>60305.53</v>
      </c>
      <c r="J92" s="229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</row>
    <row r="93" spans="1:28" ht="14.5" hidden="1" x14ac:dyDescent="0.35">
      <c r="A93" s="33"/>
      <c r="B93" s="33"/>
      <c r="C93" s="33"/>
      <c r="D93" s="34" t="s">
        <v>365</v>
      </c>
      <c r="E93" s="33"/>
      <c r="F93" s="35"/>
      <c r="G93" s="35"/>
      <c r="H93" s="36"/>
      <c r="I93" s="35"/>
      <c r="J93" s="35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</row>
    <row r="94" spans="1:28" ht="42" hidden="1" x14ac:dyDescent="0.3">
      <c r="A94" s="80" t="s">
        <v>276</v>
      </c>
      <c r="B94" s="80" t="s">
        <v>719</v>
      </c>
      <c r="C94" s="24">
        <v>89987</v>
      </c>
      <c r="D94" s="79" t="s">
        <v>327</v>
      </c>
      <c r="E94" s="24" t="s">
        <v>36</v>
      </c>
      <c r="F94" s="26">
        <v>4</v>
      </c>
      <c r="G94" s="26">
        <v>83.41</v>
      </c>
      <c r="H94" s="179">
        <f t="shared" ref="H94:H98" si="9">TRUNC(G94+(G94*$I$4),2)</f>
        <v>105.29</v>
      </c>
      <c r="I94" s="26">
        <f t="shared" ref="I94:I98" si="10">TRUNC(H94*F94,2)</f>
        <v>421.16</v>
      </c>
      <c r="J94" s="26">
        <v>4</v>
      </c>
    </row>
    <row r="95" spans="1:28" ht="28" hidden="1" x14ac:dyDescent="0.3">
      <c r="A95" s="80" t="s">
        <v>276</v>
      </c>
      <c r="B95" s="80" t="s">
        <v>720</v>
      </c>
      <c r="C95" s="24">
        <v>102607</v>
      </c>
      <c r="D95" s="79" t="s">
        <v>895</v>
      </c>
      <c r="E95" s="24" t="s">
        <v>36</v>
      </c>
      <c r="F95" s="26">
        <v>4</v>
      </c>
      <c r="G95" s="26">
        <v>467.16</v>
      </c>
      <c r="H95" s="179">
        <f t="shared" si="9"/>
        <v>589.74</v>
      </c>
      <c r="I95" s="26">
        <f t="shared" si="10"/>
        <v>2358.96</v>
      </c>
      <c r="J95" s="26">
        <v>4</v>
      </c>
    </row>
    <row r="96" spans="1:28" ht="28" hidden="1" x14ac:dyDescent="0.3">
      <c r="A96" s="80" t="s">
        <v>276</v>
      </c>
      <c r="B96" s="80" t="s">
        <v>721</v>
      </c>
      <c r="C96" s="24">
        <v>102603</v>
      </c>
      <c r="D96" s="79" t="s">
        <v>774</v>
      </c>
      <c r="E96" s="24" t="s">
        <v>36</v>
      </c>
      <c r="F96" s="26">
        <v>7</v>
      </c>
      <c r="G96" s="26">
        <v>9.82</v>
      </c>
      <c r="H96" s="179">
        <f t="shared" si="9"/>
        <v>12.39</v>
      </c>
      <c r="I96" s="26">
        <f t="shared" si="10"/>
        <v>86.73</v>
      </c>
      <c r="J96" s="26">
        <v>7</v>
      </c>
    </row>
    <row r="97" spans="1:10" ht="42" hidden="1" x14ac:dyDescent="0.3">
      <c r="A97" s="80" t="s">
        <v>276</v>
      </c>
      <c r="B97" s="80" t="s">
        <v>826</v>
      </c>
      <c r="C97" s="24">
        <v>94703</v>
      </c>
      <c r="D97" s="79" t="s">
        <v>775</v>
      </c>
      <c r="E97" s="24" t="s">
        <v>36</v>
      </c>
      <c r="F97" s="26">
        <v>7</v>
      </c>
      <c r="G97" s="26">
        <v>18.850000000000001</v>
      </c>
      <c r="H97" s="179">
        <f t="shared" si="9"/>
        <v>23.79</v>
      </c>
      <c r="I97" s="26">
        <f t="shared" si="10"/>
        <v>166.53</v>
      </c>
      <c r="J97" s="26">
        <v>7</v>
      </c>
    </row>
    <row r="98" spans="1:10" ht="32.5" hidden="1" customHeight="1" x14ac:dyDescent="0.3">
      <c r="A98" s="80" t="s">
        <v>276</v>
      </c>
      <c r="B98" s="80" t="s">
        <v>722</v>
      </c>
      <c r="C98" s="24">
        <v>94797</v>
      </c>
      <c r="D98" s="79" t="s">
        <v>776</v>
      </c>
      <c r="E98" s="24" t="s">
        <v>36</v>
      </c>
      <c r="F98" s="26">
        <v>3</v>
      </c>
      <c r="G98" s="26">
        <v>87.48</v>
      </c>
      <c r="H98" s="179">
        <f t="shared" si="9"/>
        <v>110.43</v>
      </c>
      <c r="I98" s="26">
        <f t="shared" si="10"/>
        <v>331.29</v>
      </c>
      <c r="J98" s="26">
        <v>3</v>
      </c>
    </row>
    <row r="99" spans="1:10" hidden="1" x14ac:dyDescent="0.3">
      <c r="A99" s="33"/>
      <c r="B99" s="33"/>
      <c r="C99" s="33"/>
      <c r="D99" s="34" t="s">
        <v>367</v>
      </c>
      <c r="E99" s="33"/>
      <c r="F99" s="35"/>
      <c r="G99" s="35"/>
      <c r="H99" s="36"/>
      <c r="I99" s="35"/>
      <c r="J99" s="35"/>
    </row>
    <row r="100" spans="1:10" ht="42" hidden="1" x14ac:dyDescent="0.3">
      <c r="A100" s="80" t="s">
        <v>276</v>
      </c>
      <c r="B100" s="80" t="s">
        <v>723</v>
      </c>
      <c r="C100" s="24">
        <v>89987</v>
      </c>
      <c r="D100" s="79" t="s">
        <v>327</v>
      </c>
      <c r="E100" s="24" t="s">
        <v>36</v>
      </c>
      <c r="F100" s="26">
        <v>16</v>
      </c>
      <c r="G100" s="26">
        <v>87.74</v>
      </c>
      <c r="H100" s="179">
        <f t="shared" ref="H100:H109" si="11">TRUNC(G100+(G100*$I$4),2)</f>
        <v>110.76</v>
      </c>
      <c r="I100" s="26">
        <f t="shared" ref="I100:I109" si="12">TRUNC(H100*F100,2)</f>
        <v>1772.16</v>
      </c>
      <c r="J100" s="26">
        <v>16</v>
      </c>
    </row>
    <row r="101" spans="1:10" ht="42" hidden="1" x14ac:dyDescent="0.3">
      <c r="A101" s="80" t="s">
        <v>276</v>
      </c>
      <c r="B101" s="80" t="s">
        <v>827</v>
      </c>
      <c r="C101" s="24">
        <v>89985</v>
      </c>
      <c r="D101" s="79" t="s">
        <v>381</v>
      </c>
      <c r="E101" s="24" t="s">
        <v>36</v>
      </c>
      <c r="F101" s="26">
        <v>6</v>
      </c>
      <c r="G101" s="26">
        <v>83.36</v>
      </c>
      <c r="H101" s="179">
        <f>TRUNC(G101+(G101*$I$4),2)</f>
        <v>105.23</v>
      </c>
      <c r="I101" s="26">
        <f>TRUNC(H101*F101,2)</f>
        <v>631.38</v>
      </c>
      <c r="J101" s="26">
        <v>6</v>
      </c>
    </row>
    <row r="102" spans="1:10" ht="42" hidden="1" x14ac:dyDescent="0.3">
      <c r="A102" s="80" t="s">
        <v>276</v>
      </c>
      <c r="B102" s="80" t="s">
        <v>724</v>
      </c>
      <c r="C102" s="24">
        <v>89362</v>
      </c>
      <c r="D102" s="25" t="s">
        <v>326</v>
      </c>
      <c r="E102" s="24" t="s">
        <v>36</v>
      </c>
      <c r="F102" s="26">
        <v>44</v>
      </c>
      <c r="G102" s="26">
        <v>9.33</v>
      </c>
      <c r="H102" s="179">
        <f t="shared" si="11"/>
        <v>11.77</v>
      </c>
      <c r="I102" s="26">
        <f t="shared" si="12"/>
        <v>517.88</v>
      </c>
      <c r="J102" s="26">
        <v>44</v>
      </c>
    </row>
    <row r="103" spans="1:10" ht="42" hidden="1" x14ac:dyDescent="0.3">
      <c r="A103" s="80" t="s">
        <v>276</v>
      </c>
      <c r="B103" s="80" t="s">
        <v>725</v>
      </c>
      <c r="C103" s="24">
        <v>89364</v>
      </c>
      <c r="D103" s="25" t="s">
        <v>777</v>
      </c>
      <c r="E103" s="24" t="s">
        <v>41</v>
      </c>
      <c r="F103" s="26">
        <v>6</v>
      </c>
      <c r="G103" s="26">
        <v>11.49</v>
      </c>
      <c r="H103" s="179">
        <f t="shared" si="11"/>
        <v>14.5</v>
      </c>
      <c r="I103" s="26">
        <f t="shared" si="12"/>
        <v>87</v>
      </c>
      <c r="J103" s="26">
        <v>6</v>
      </c>
    </row>
    <row r="104" spans="1:10" ht="42" hidden="1" x14ac:dyDescent="0.3">
      <c r="A104" s="80" t="s">
        <v>276</v>
      </c>
      <c r="B104" s="80" t="s">
        <v>726</v>
      </c>
      <c r="C104" s="24">
        <v>90443</v>
      </c>
      <c r="D104" s="25" t="s">
        <v>382</v>
      </c>
      <c r="E104" s="24" t="s">
        <v>41</v>
      </c>
      <c r="F104" s="26">
        <v>48.5</v>
      </c>
      <c r="G104" s="26">
        <v>7.62</v>
      </c>
      <c r="H104" s="179">
        <f t="shared" si="11"/>
        <v>9.61</v>
      </c>
      <c r="I104" s="26">
        <f t="shared" si="12"/>
        <v>466.08</v>
      </c>
      <c r="J104" s="26">
        <v>48.5</v>
      </c>
    </row>
    <row r="105" spans="1:10" ht="42" hidden="1" x14ac:dyDescent="0.3">
      <c r="A105" s="80" t="s">
        <v>276</v>
      </c>
      <c r="B105" s="80" t="s">
        <v>727</v>
      </c>
      <c r="C105" s="24">
        <v>89356</v>
      </c>
      <c r="D105" s="25" t="s">
        <v>366</v>
      </c>
      <c r="E105" s="24" t="s">
        <v>41</v>
      </c>
      <c r="F105" s="26">
        <v>96.35</v>
      </c>
      <c r="G105" s="26">
        <v>22.68</v>
      </c>
      <c r="H105" s="179">
        <f t="shared" si="11"/>
        <v>28.63</v>
      </c>
      <c r="I105" s="26">
        <f t="shared" si="12"/>
        <v>2758.5</v>
      </c>
      <c r="J105" s="26">
        <v>96.35</v>
      </c>
    </row>
    <row r="106" spans="1:10" ht="28" hidden="1" x14ac:dyDescent="0.3">
      <c r="A106" s="80" t="s">
        <v>276</v>
      </c>
      <c r="B106" s="80" t="s">
        <v>728</v>
      </c>
      <c r="C106" s="24">
        <v>89395</v>
      </c>
      <c r="D106" s="25" t="s">
        <v>368</v>
      </c>
      <c r="E106" s="24" t="s">
        <v>36</v>
      </c>
      <c r="F106" s="26">
        <v>26</v>
      </c>
      <c r="G106" s="26">
        <v>12.88</v>
      </c>
      <c r="H106" s="179">
        <f t="shared" si="11"/>
        <v>16.25</v>
      </c>
      <c r="I106" s="26">
        <f t="shared" si="12"/>
        <v>422.5</v>
      </c>
      <c r="J106" s="26">
        <v>26</v>
      </c>
    </row>
    <row r="107" spans="1:10" ht="42" hidden="1" x14ac:dyDescent="0.3">
      <c r="A107" s="80" t="s">
        <v>276</v>
      </c>
      <c r="B107" s="80" t="s">
        <v>729</v>
      </c>
      <c r="C107" s="24">
        <v>89627</v>
      </c>
      <c r="D107" s="25" t="s">
        <v>369</v>
      </c>
      <c r="E107" s="24" t="s">
        <v>36</v>
      </c>
      <c r="F107" s="26">
        <v>6</v>
      </c>
      <c r="G107" s="26">
        <v>19.46</v>
      </c>
      <c r="H107" s="179">
        <f t="shared" si="11"/>
        <v>24.56</v>
      </c>
      <c r="I107" s="26">
        <f t="shared" si="12"/>
        <v>147.36000000000001</v>
      </c>
      <c r="J107" s="26">
        <v>6</v>
      </c>
    </row>
    <row r="108" spans="1:10" ht="42" hidden="1" x14ac:dyDescent="0.3">
      <c r="A108" s="80" t="s">
        <v>276</v>
      </c>
      <c r="B108" s="80" t="s">
        <v>730</v>
      </c>
      <c r="C108" s="24">
        <v>89366</v>
      </c>
      <c r="D108" s="25" t="s">
        <v>370</v>
      </c>
      <c r="E108" s="24" t="s">
        <v>36</v>
      </c>
      <c r="F108" s="26">
        <v>6</v>
      </c>
      <c r="G108" s="26">
        <v>15.67</v>
      </c>
      <c r="H108" s="179">
        <f t="shared" si="11"/>
        <v>19.78</v>
      </c>
      <c r="I108" s="26">
        <f t="shared" si="12"/>
        <v>118.68</v>
      </c>
      <c r="J108" s="26">
        <v>6</v>
      </c>
    </row>
    <row r="109" spans="1:10" ht="42" hidden="1" x14ac:dyDescent="0.3">
      <c r="A109" s="80" t="s">
        <v>276</v>
      </c>
      <c r="B109" s="80" t="s">
        <v>731</v>
      </c>
      <c r="C109" s="24">
        <v>90373</v>
      </c>
      <c r="D109" s="25" t="s">
        <v>778</v>
      </c>
      <c r="E109" s="24" t="s">
        <v>36</v>
      </c>
      <c r="F109" s="26">
        <v>6</v>
      </c>
      <c r="G109" s="26">
        <v>12.58</v>
      </c>
      <c r="H109" s="179">
        <f t="shared" si="11"/>
        <v>15.88</v>
      </c>
      <c r="I109" s="26">
        <f t="shared" si="12"/>
        <v>95.28</v>
      </c>
      <c r="J109" s="26">
        <v>6</v>
      </c>
    </row>
    <row r="110" spans="1:10" hidden="1" x14ac:dyDescent="0.3">
      <c r="A110" s="33"/>
      <c r="B110" s="33"/>
      <c r="C110" s="33"/>
      <c r="D110" s="34" t="s">
        <v>371</v>
      </c>
      <c r="E110" s="33"/>
      <c r="F110" s="35"/>
      <c r="G110" s="35"/>
      <c r="H110" s="36"/>
      <c r="I110" s="35"/>
      <c r="J110" s="35"/>
    </row>
    <row r="111" spans="1:10" hidden="1" x14ac:dyDescent="0.3">
      <c r="A111" s="238"/>
      <c r="B111" s="238"/>
      <c r="C111" s="238"/>
      <c r="D111" s="239" t="s">
        <v>328</v>
      </c>
      <c r="E111" s="238"/>
      <c r="F111" s="240"/>
      <c r="G111" s="240"/>
      <c r="H111" s="241"/>
      <c r="I111" s="240"/>
      <c r="J111" s="240"/>
    </row>
    <row r="112" spans="1:10" ht="28" hidden="1" x14ac:dyDescent="0.3">
      <c r="A112" s="80" t="s">
        <v>276</v>
      </c>
      <c r="B112" s="80" t="s">
        <v>732</v>
      </c>
      <c r="C112" s="24">
        <v>86905</v>
      </c>
      <c r="D112" s="25" t="s">
        <v>779</v>
      </c>
      <c r="E112" s="24" t="s">
        <v>36</v>
      </c>
      <c r="F112" s="26">
        <v>6</v>
      </c>
      <c r="G112" s="26">
        <v>493.1</v>
      </c>
      <c r="H112" s="179">
        <f t="shared" ref="H112:H117" si="13">TRUNC(G112+(G112*$I$4),2)</f>
        <v>622.48</v>
      </c>
      <c r="I112" s="26">
        <f t="shared" ref="I112:I117" si="14">TRUNC(H112*F112,2)</f>
        <v>3734.88</v>
      </c>
      <c r="J112" s="26">
        <v>6</v>
      </c>
    </row>
    <row r="113" spans="1:10" ht="28" hidden="1" x14ac:dyDescent="0.3">
      <c r="A113" s="80" t="s">
        <v>276</v>
      </c>
      <c r="B113" s="80" t="s">
        <v>733</v>
      </c>
      <c r="C113" s="24">
        <v>86895</v>
      </c>
      <c r="D113" s="25" t="s">
        <v>780</v>
      </c>
      <c r="E113" s="24" t="s">
        <v>36</v>
      </c>
      <c r="F113" s="26">
        <v>6</v>
      </c>
      <c r="G113" s="26">
        <v>361.78</v>
      </c>
      <c r="H113" s="179">
        <f t="shared" si="13"/>
        <v>456.71</v>
      </c>
      <c r="I113" s="26">
        <f t="shared" si="14"/>
        <v>2740.26</v>
      </c>
      <c r="J113" s="26">
        <v>6</v>
      </c>
    </row>
    <row r="114" spans="1:10" ht="70" hidden="1" x14ac:dyDescent="0.3">
      <c r="A114" s="80" t="s">
        <v>276</v>
      </c>
      <c r="B114" s="80" t="s">
        <v>734</v>
      </c>
      <c r="C114" s="24">
        <v>86943</v>
      </c>
      <c r="D114" s="25" t="s">
        <v>781</v>
      </c>
      <c r="E114" s="24" t="s">
        <v>36</v>
      </c>
      <c r="F114" s="26">
        <v>2</v>
      </c>
      <c r="G114" s="26">
        <v>279.14999999999998</v>
      </c>
      <c r="H114" s="179">
        <f t="shared" si="13"/>
        <v>352.39</v>
      </c>
      <c r="I114" s="26">
        <f t="shared" si="14"/>
        <v>704.78</v>
      </c>
      <c r="J114" s="26">
        <v>2</v>
      </c>
    </row>
    <row r="115" spans="1:10" ht="56" hidden="1" x14ac:dyDescent="0.3">
      <c r="A115" s="80" t="s">
        <v>276</v>
      </c>
      <c r="B115" s="80" t="s">
        <v>735</v>
      </c>
      <c r="C115" s="24">
        <v>86932</v>
      </c>
      <c r="D115" s="25" t="s">
        <v>372</v>
      </c>
      <c r="E115" s="24" t="s">
        <v>36</v>
      </c>
      <c r="F115" s="26">
        <v>7</v>
      </c>
      <c r="G115" s="26">
        <v>545.91999999999996</v>
      </c>
      <c r="H115" s="179">
        <f t="shared" si="13"/>
        <v>689.16</v>
      </c>
      <c r="I115" s="26">
        <f t="shared" si="14"/>
        <v>4824.12</v>
      </c>
      <c r="J115" s="26">
        <v>7</v>
      </c>
    </row>
    <row r="116" spans="1:10" ht="28" hidden="1" x14ac:dyDescent="0.3">
      <c r="A116" s="80" t="s">
        <v>276</v>
      </c>
      <c r="B116" s="80" t="s">
        <v>735</v>
      </c>
      <c r="C116" s="24">
        <v>100858</v>
      </c>
      <c r="D116" s="25" t="s">
        <v>896</v>
      </c>
      <c r="E116" s="24" t="s">
        <v>36</v>
      </c>
      <c r="F116" s="26">
        <v>2</v>
      </c>
      <c r="G116" s="26">
        <v>607.16</v>
      </c>
      <c r="H116" s="179">
        <f t="shared" si="13"/>
        <v>766.47</v>
      </c>
      <c r="I116" s="26">
        <f t="shared" si="14"/>
        <v>1532.94</v>
      </c>
      <c r="J116" s="26">
        <v>2</v>
      </c>
    </row>
    <row r="117" spans="1:10" ht="28" hidden="1" x14ac:dyDescent="0.3">
      <c r="A117" s="80" t="s">
        <v>276</v>
      </c>
      <c r="B117" s="80" t="s">
        <v>736</v>
      </c>
      <c r="C117" s="24">
        <v>100860</v>
      </c>
      <c r="D117" s="25" t="s">
        <v>692</v>
      </c>
      <c r="E117" s="24" t="s">
        <v>36</v>
      </c>
      <c r="F117" s="26">
        <v>6</v>
      </c>
      <c r="G117" s="26">
        <v>114.82</v>
      </c>
      <c r="H117" s="179">
        <f t="shared" si="13"/>
        <v>144.94</v>
      </c>
      <c r="I117" s="26">
        <f t="shared" si="14"/>
        <v>869.64</v>
      </c>
      <c r="J117" s="26">
        <v>6</v>
      </c>
    </row>
    <row r="118" spans="1:10" ht="15" hidden="1" customHeight="1" x14ac:dyDescent="0.3">
      <c r="A118" s="238"/>
      <c r="B118" s="238"/>
      <c r="C118" s="238"/>
      <c r="D118" s="239" t="s">
        <v>693</v>
      </c>
      <c r="E118" s="238"/>
      <c r="F118" s="240"/>
      <c r="G118" s="240"/>
      <c r="H118" s="241"/>
      <c r="I118" s="240"/>
      <c r="J118" s="240"/>
    </row>
    <row r="119" spans="1:10" ht="28" hidden="1" x14ac:dyDescent="0.3">
      <c r="A119" s="80" t="s">
        <v>276</v>
      </c>
      <c r="B119" s="80" t="s">
        <v>737</v>
      </c>
      <c r="C119" s="24">
        <v>86889</v>
      </c>
      <c r="D119" s="25" t="s">
        <v>694</v>
      </c>
      <c r="E119" s="24" t="s">
        <v>36</v>
      </c>
      <c r="F119" s="26">
        <v>2</v>
      </c>
      <c r="G119" s="26">
        <v>759.6</v>
      </c>
      <c r="H119" s="179">
        <f>TRUNC(G119+(G119*$I$4),2)</f>
        <v>958.91</v>
      </c>
      <c r="I119" s="26">
        <f>TRUNC(H119*F119,2)</f>
        <v>1917.82</v>
      </c>
      <c r="J119" s="26">
        <v>2</v>
      </c>
    </row>
    <row r="120" spans="1:10" ht="28" hidden="1" x14ac:dyDescent="0.3">
      <c r="A120" s="80" t="s">
        <v>276</v>
      </c>
      <c r="B120" s="80" t="s">
        <v>738</v>
      </c>
      <c r="C120" s="24">
        <v>86900</v>
      </c>
      <c r="D120" s="25" t="s">
        <v>695</v>
      </c>
      <c r="E120" s="24" t="s">
        <v>36</v>
      </c>
      <c r="F120" s="26">
        <v>1</v>
      </c>
      <c r="G120" s="26">
        <v>242.82</v>
      </c>
      <c r="H120" s="179">
        <f>TRUNC(G120+(G120*$I$4),2)</f>
        <v>306.52999999999997</v>
      </c>
      <c r="I120" s="26">
        <f>TRUNC(H120*F120,2)</f>
        <v>306.52999999999997</v>
      </c>
      <c r="J120" s="26">
        <v>1</v>
      </c>
    </row>
    <row r="121" spans="1:10" ht="42" hidden="1" x14ac:dyDescent="0.3">
      <c r="A121" s="80" t="s">
        <v>276</v>
      </c>
      <c r="B121" s="80" t="s">
        <v>739</v>
      </c>
      <c r="C121" s="24">
        <v>86909</v>
      </c>
      <c r="D121" s="25" t="s">
        <v>696</v>
      </c>
      <c r="E121" s="24" t="s">
        <v>36</v>
      </c>
      <c r="F121" s="26">
        <v>1</v>
      </c>
      <c r="G121" s="26">
        <v>158.29</v>
      </c>
      <c r="H121" s="179">
        <f>TRUNC(G121+(G121*$I$4),2)</f>
        <v>199.82</v>
      </c>
      <c r="I121" s="26">
        <f>TRUNC(H121*F121,2)</f>
        <v>199.82</v>
      </c>
      <c r="J121" s="26">
        <v>1</v>
      </c>
    </row>
    <row r="122" spans="1:10" ht="15" hidden="1" customHeight="1" x14ac:dyDescent="0.3">
      <c r="A122" s="238"/>
      <c r="B122" s="238"/>
      <c r="C122" s="238"/>
      <c r="D122" s="239" t="s">
        <v>697</v>
      </c>
      <c r="E122" s="238"/>
      <c r="F122" s="240"/>
      <c r="G122" s="240"/>
      <c r="H122" s="241"/>
      <c r="I122" s="240"/>
      <c r="J122" s="240"/>
    </row>
    <row r="123" spans="1:10" ht="42" hidden="1" x14ac:dyDescent="0.3">
      <c r="A123" s="80" t="s">
        <v>276</v>
      </c>
      <c r="B123" s="80" t="s">
        <v>740</v>
      </c>
      <c r="C123" s="24">
        <v>86910</v>
      </c>
      <c r="D123" s="25" t="s">
        <v>698</v>
      </c>
      <c r="E123" s="24" t="s">
        <v>36</v>
      </c>
      <c r="F123" s="26">
        <v>5</v>
      </c>
      <c r="G123" s="26">
        <v>156.15</v>
      </c>
      <c r="H123" s="179">
        <f>TRUNC(G123+(G123*$I$4),2)</f>
        <v>197.12</v>
      </c>
      <c r="I123" s="26">
        <f>TRUNC(H123*F123,2)</f>
        <v>985.6</v>
      </c>
      <c r="J123" s="26">
        <v>5</v>
      </c>
    </row>
    <row r="124" spans="1:10" ht="28" hidden="1" x14ac:dyDescent="0.3">
      <c r="A124" s="80" t="s">
        <v>276</v>
      </c>
      <c r="B124" s="80" t="s">
        <v>741</v>
      </c>
      <c r="C124" s="80">
        <v>86876</v>
      </c>
      <c r="D124" s="25" t="s">
        <v>710</v>
      </c>
      <c r="E124" s="24" t="s">
        <v>36</v>
      </c>
      <c r="F124" s="26">
        <v>4</v>
      </c>
      <c r="G124" s="26">
        <v>300.66000000000003</v>
      </c>
      <c r="H124" s="179">
        <f>TRUNC(G124+(G124*$I$4),2)</f>
        <v>379.55</v>
      </c>
      <c r="I124" s="26">
        <f>TRUNC(H124*F124,2)</f>
        <v>1518.2</v>
      </c>
      <c r="J124" s="26">
        <v>4</v>
      </c>
    </row>
    <row r="125" spans="1:10" hidden="1" x14ac:dyDescent="0.3">
      <c r="A125" s="33"/>
      <c r="B125" s="33"/>
      <c r="C125" s="33"/>
      <c r="D125" s="34" t="s">
        <v>373</v>
      </c>
      <c r="E125" s="33"/>
      <c r="F125" s="35"/>
      <c r="G125" s="35"/>
      <c r="H125" s="36"/>
      <c r="I125" s="35"/>
      <c r="J125" s="35"/>
    </row>
    <row r="126" spans="1:10" ht="42" hidden="1" x14ac:dyDescent="0.3">
      <c r="A126" s="80" t="s">
        <v>276</v>
      </c>
      <c r="B126" s="80" t="s">
        <v>742</v>
      </c>
      <c r="C126" s="181">
        <v>97902</v>
      </c>
      <c r="D126" s="182" t="s">
        <v>374</v>
      </c>
      <c r="E126" s="181" t="s">
        <v>36</v>
      </c>
      <c r="F126" s="26">
        <v>8</v>
      </c>
      <c r="G126" s="26">
        <v>582.94000000000005</v>
      </c>
      <c r="H126" s="179">
        <f t="shared" ref="H126:H144" si="15">TRUNC(G126+(G126*$I$4),2)</f>
        <v>735.9</v>
      </c>
      <c r="I126" s="26">
        <f t="shared" ref="I126:I144" si="16">TRUNC(H126*F126,2)</f>
        <v>5887.2</v>
      </c>
      <c r="J126" s="26">
        <v>8</v>
      </c>
    </row>
    <row r="127" spans="1:10" ht="42" hidden="1" x14ac:dyDescent="0.3">
      <c r="A127" s="80" t="s">
        <v>276</v>
      </c>
      <c r="B127" s="80" t="s">
        <v>743</v>
      </c>
      <c r="C127" s="181">
        <v>98102</v>
      </c>
      <c r="D127" s="182" t="s">
        <v>401</v>
      </c>
      <c r="E127" s="181" t="s">
        <v>36</v>
      </c>
      <c r="F127" s="26">
        <v>1</v>
      </c>
      <c r="G127" s="26">
        <v>200.85</v>
      </c>
      <c r="H127" s="179">
        <f>TRUNC(G127+(G127*$I$4),2)</f>
        <v>253.55</v>
      </c>
      <c r="I127" s="26">
        <f>TRUNC(H127*F127,2)</f>
        <v>253.55</v>
      </c>
      <c r="J127" s="26">
        <v>1</v>
      </c>
    </row>
    <row r="128" spans="1:10" ht="56" hidden="1" x14ac:dyDescent="0.3">
      <c r="A128" s="80" t="s">
        <v>276</v>
      </c>
      <c r="B128" s="80" t="s">
        <v>744</v>
      </c>
      <c r="C128" s="181">
        <v>104328</v>
      </c>
      <c r="D128" s="242" t="s">
        <v>375</v>
      </c>
      <c r="E128" s="181" t="s">
        <v>36</v>
      </c>
      <c r="F128" s="26">
        <v>6</v>
      </c>
      <c r="G128" s="26">
        <v>71.47</v>
      </c>
      <c r="H128" s="179">
        <f t="shared" si="15"/>
        <v>90.22</v>
      </c>
      <c r="I128" s="26">
        <f t="shared" si="16"/>
        <v>541.32000000000005</v>
      </c>
      <c r="J128" s="26">
        <v>6</v>
      </c>
    </row>
    <row r="129" spans="1:10" ht="56" hidden="1" x14ac:dyDescent="0.3">
      <c r="A129" s="80" t="s">
        <v>276</v>
      </c>
      <c r="B129" s="80" t="s">
        <v>745</v>
      </c>
      <c r="C129" s="181">
        <v>89748</v>
      </c>
      <c r="D129" s="242" t="s">
        <v>782</v>
      </c>
      <c r="E129" s="181" t="s">
        <v>36</v>
      </c>
      <c r="F129" s="26">
        <v>4</v>
      </c>
      <c r="G129" s="26">
        <v>43.31</v>
      </c>
      <c r="H129" s="179">
        <f t="shared" si="15"/>
        <v>54.67</v>
      </c>
      <c r="I129" s="26">
        <f t="shared" si="16"/>
        <v>218.68</v>
      </c>
      <c r="J129" s="26">
        <v>4</v>
      </c>
    </row>
    <row r="130" spans="1:10" ht="56" hidden="1" x14ac:dyDescent="0.3">
      <c r="A130" s="80" t="s">
        <v>276</v>
      </c>
      <c r="B130" s="80" t="s">
        <v>746</v>
      </c>
      <c r="C130" s="181">
        <v>89728</v>
      </c>
      <c r="D130" s="242" t="s">
        <v>376</v>
      </c>
      <c r="E130" s="181" t="s">
        <v>36</v>
      </c>
      <c r="F130" s="26">
        <v>11</v>
      </c>
      <c r="G130" s="26">
        <v>13.44</v>
      </c>
      <c r="H130" s="179">
        <f t="shared" si="15"/>
        <v>16.96</v>
      </c>
      <c r="I130" s="26">
        <f t="shared" si="16"/>
        <v>186.56</v>
      </c>
      <c r="J130" s="26">
        <v>11</v>
      </c>
    </row>
    <row r="131" spans="1:10" ht="42" hidden="1" x14ac:dyDescent="0.3">
      <c r="A131" s="80" t="s">
        <v>276</v>
      </c>
      <c r="B131" s="80" t="s">
        <v>747</v>
      </c>
      <c r="C131" s="181">
        <v>89732</v>
      </c>
      <c r="D131" s="242" t="s">
        <v>711</v>
      </c>
      <c r="E131" s="181" t="s">
        <v>36</v>
      </c>
      <c r="F131" s="26">
        <v>1</v>
      </c>
      <c r="G131" s="26">
        <v>15.55</v>
      </c>
      <c r="H131" s="179">
        <f t="shared" si="15"/>
        <v>19.63</v>
      </c>
      <c r="I131" s="26">
        <f t="shared" si="16"/>
        <v>19.63</v>
      </c>
      <c r="J131" s="26">
        <v>1</v>
      </c>
    </row>
    <row r="132" spans="1:10" ht="42" hidden="1" x14ac:dyDescent="0.3">
      <c r="A132" s="80" t="s">
        <v>276</v>
      </c>
      <c r="B132" s="80" t="s">
        <v>748</v>
      </c>
      <c r="C132" s="181">
        <v>89744</v>
      </c>
      <c r="D132" s="242" t="s">
        <v>377</v>
      </c>
      <c r="E132" s="181" t="s">
        <v>36</v>
      </c>
      <c r="F132" s="26">
        <v>1</v>
      </c>
      <c r="G132" s="26">
        <v>27.61</v>
      </c>
      <c r="H132" s="179">
        <f t="shared" si="15"/>
        <v>34.85</v>
      </c>
      <c r="I132" s="26">
        <f t="shared" si="16"/>
        <v>34.85</v>
      </c>
      <c r="J132" s="26">
        <v>1</v>
      </c>
    </row>
    <row r="133" spans="1:10" ht="56" hidden="1" customHeight="1" x14ac:dyDescent="0.3">
      <c r="A133" s="80" t="s">
        <v>276</v>
      </c>
      <c r="B133" s="80" t="s">
        <v>748</v>
      </c>
      <c r="C133" s="181">
        <v>89739</v>
      </c>
      <c r="D133" s="242" t="s">
        <v>900</v>
      </c>
      <c r="E133" s="181" t="s">
        <v>36</v>
      </c>
      <c r="F133" s="26">
        <v>1</v>
      </c>
      <c r="G133" s="26">
        <v>23.59</v>
      </c>
      <c r="H133" s="179">
        <f t="shared" si="15"/>
        <v>29.78</v>
      </c>
      <c r="I133" s="26">
        <f t="shared" si="16"/>
        <v>29.78</v>
      </c>
      <c r="J133" s="26">
        <v>1</v>
      </c>
    </row>
    <row r="134" spans="1:10" ht="42" hidden="1" x14ac:dyDescent="0.3">
      <c r="A134" s="80" t="s">
        <v>276</v>
      </c>
      <c r="B134" s="80" t="s">
        <v>749</v>
      </c>
      <c r="C134" s="181">
        <v>89731</v>
      </c>
      <c r="D134" s="242" t="s">
        <v>378</v>
      </c>
      <c r="E134" s="181" t="s">
        <v>36</v>
      </c>
      <c r="F134" s="26">
        <v>4</v>
      </c>
      <c r="G134" s="26">
        <v>14.79</v>
      </c>
      <c r="H134" s="179">
        <f t="shared" si="15"/>
        <v>18.670000000000002</v>
      </c>
      <c r="I134" s="26">
        <f t="shared" si="16"/>
        <v>74.680000000000007</v>
      </c>
      <c r="J134" s="26">
        <v>4</v>
      </c>
    </row>
    <row r="135" spans="1:10" ht="42" hidden="1" x14ac:dyDescent="0.3">
      <c r="A135" s="80" t="s">
        <v>276</v>
      </c>
      <c r="B135" s="80" t="s">
        <v>828</v>
      </c>
      <c r="C135" s="181">
        <v>89724</v>
      </c>
      <c r="D135" s="242" t="s">
        <v>331</v>
      </c>
      <c r="E135" s="181" t="s">
        <v>36</v>
      </c>
      <c r="F135" s="26">
        <v>11</v>
      </c>
      <c r="G135" s="26">
        <v>10.39</v>
      </c>
      <c r="H135" s="179">
        <f t="shared" si="15"/>
        <v>13.11</v>
      </c>
      <c r="I135" s="26">
        <f t="shared" si="16"/>
        <v>144.21</v>
      </c>
      <c r="J135" s="26">
        <v>11</v>
      </c>
    </row>
    <row r="136" spans="1:10" ht="42" hidden="1" x14ac:dyDescent="0.3">
      <c r="A136" s="80" t="s">
        <v>276</v>
      </c>
      <c r="B136" s="80" t="s">
        <v>829</v>
      </c>
      <c r="C136" s="181">
        <v>89746</v>
      </c>
      <c r="D136" s="242" t="s">
        <v>785</v>
      </c>
      <c r="E136" s="181" t="s">
        <v>36</v>
      </c>
      <c r="F136" s="26">
        <v>2</v>
      </c>
      <c r="G136" s="26">
        <v>28.48</v>
      </c>
      <c r="H136" s="179">
        <f t="shared" si="15"/>
        <v>35.950000000000003</v>
      </c>
      <c r="I136" s="26">
        <f t="shared" si="16"/>
        <v>71.900000000000006</v>
      </c>
      <c r="J136" s="26">
        <v>2</v>
      </c>
    </row>
    <row r="137" spans="1:10" ht="56" hidden="1" customHeight="1" x14ac:dyDescent="0.3">
      <c r="A137" s="80" t="s">
        <v>276</v>
      </c>
      <c r="B137" s="80" t="s">
        <v>830</v>
      </c>
      <c r="C137" s="181">
        <v>89726</v>
      </c>
      <c r="D137" s="242" t="s">
        <v>786</v>
      </c>
      <c r="E137" s="181" t="s">
        <v>36</v>
      </c>
      <c r="F137" s="26">
        <v>8</v>
      </c>
      <c r="G137" s="26">
        <v>10.63</v>
      </c>
      <c r="H137" s="179">
        <f t="shared" si="15"/>
        <v>13.41</v>
      </c>
      <c r="I137" s="26">
        <f t="shared" si="16"/>
        <v>107.28</v>
      </c>
      <c r="J137" s="26">
        <v>8</v>
      </c>
    </row>
    <row r="138" spans="1:10" ht="56" hidden="1" x14ac:dyDescent="0.3">
      <c r="A138" s="80" t="s">
        <v>276</v>
      </c>
      <c r="B138" s="80" t="s">
        <v>831</v>
      </c>
      <c r="C138" s="80">
        <v>89797</v>
      </c>
      <c r="D138" s="79" t="s">
        <v>787</v>
      </c>
      <c r="E138" s="24" t="s">
        <v>36</v>
      </c>
      <c r="F138" s="26">
        <v>3</v>
      </c>
      <c r="G138" s="26">
        <v>51.96</v>
      </c>
      <c r="H138" s="179">
        <f t="shared" si="15"/>
        <v>65.59</v>
      </c>
      <c r="I138" s="26">
        <f t="shared" si="16"/>
        <v>196.77</v>
      </c>
      <c r="J138" s="26">
        <v>3</v>
      </c>
    </row>
    <row r="139" spans="1:10" ht="70" hidden="1" x14ac:dyDescent="0.3">
      <c r="A139" s="80" t="s">
        <v>276</v>
      </c>
      <c r="B139" s="80" t="s">
        <v>832</v>
      </c>
      <c r="C139" s="80">
        <v>89783</v>
      </c>
      <c r="D139" s="79" t="s">
        <v>898</v>
      </c>
      <c r="E139" s="24" t="s">
        <v>36</v>
      </c>
      <c r="F139" s="26">
        <v>4</v>
      </c>
      <c r="G139" s="26">
        <v>19.95</v>
      </c>
      <c r="H139" s="179">
        <f t="shared" si="15"/>
        <v>25.18</v>
      </c>
      <c r="I139" s="26">
        <f t="shared" si="16"/>
        <v>100.72</v>
      </c>
      <c r="J139" s="26">
        <v>4</v>
      </c>
    </row>
    <row r="140" spans="1:10" ht="56" hidden="1" x14ac:dyDescent="0.3">
      <c r="A140" s="80" t="s">
        <v>276</v>
      </c>
      <c r="B140" s="80" t="s">
        <v>832</v>
      </c>
      <c r="C140" s="80">
        <v>104347</v>
      </c>
      <c r="D140" s="79" t="s">
        <v>899</v>
      </c>
      <c r="E140" s="24" t="s">
        <v>36</v>
      </c>
      <c r="F140" s="26">
        <v>1</v>
      </c>
      <c r="G140" s="26">
        <v>48.31</v>
      </c>
      <c r="H140" s="179">
        <f t="shared" si="15"/>
        <v>60.98</v>
      </c>
      <c r="I140" s="26">
        <f t="shared" si="16"/>
        <v>60.98</v>
      </c>
      <c r="J140" s="26">
        <v>1</v>
      </c>
    </row>
    <row r="141" spans="1:10" ht="42" hidden="1" x14ac:dyDescent="0.3">
      <c r="A141" s="80" t="s">
        <v>276</v>
      </c>
      <c r="B141" s="80" t="s">
        <v>833</v>
      </c>
      <c r="C141" s="181">
        <v>89714</v>
      </c>
      <c r="D141" s="182" t="s">
        <v>380</v>
      </c>
      <c r="E141" s="181" t="s">
        <v>41</v>
      </c>
      <c r="F141" s="26">
        <v>55.1</v>
      </c>
      <c r="G141" s="26">
        <v>37.89</v>
      </c>
      <c r="H141" s="179">
        <f t="shared" si="15"/>
        <v>47.83</v>
      </c>
      <c r="I141" s="26">
        <f t="shared" si="16"/>
        <v>2635.43</v>
      </c>
      <c r="J141" s="26">
        <v>55.1</v>
      </c>
    </row>
    <row r="142" spans="1:10" ht="42" hidden="1" x14ac:dyDescent="0.3">
      <c r="A142" s="80" t="s">
        <v>276</v>
      </c>
      <c r="B142" s="80" t="s">
        <v>834</v>
      </c>
      <c r="C142" s="181">
        <v>89711</v>
      </c>
      <c r="D142" s="242" t="s">
        <v>330</v>
      </c>
      <c r="E142" s="181" t="s">
        <v>41</v>
      </c>
      <c r="F142" s="26">
        <v>24.3</v>
      </c>
      <c r="G142" s="26">
        <v>21.33</v>
      </c>
      <c r="H142" s="179">
        <f t="shared" si="15"/>
        <v>26.92</v>
      </c>
      <c r="I142" s="26">
        <f t="shared" si="16"/>
        <v>654.15</v>
      </c>
      <c r="J142" s="26">
        <v>24.3</v>
      </c>
    </row>
    <row r="143" spans="1:10" ht="42" hidden="1" x14ac:dyDescent="0.3">
      <c r="A143" s="80" t="s">
        <v>276</v>
      </c>
      <c r="B143" s="80" t="s">
        <v>835</v>
      </c>
      <c r="C143" s="181">
        <v>89798</v>
      </c>
      <c r="D143" s="182" t="s">
        <v>329</v>
      </c>
      <c r="E143" s="181" t="s">
        <v>41</v>
      </c>
      <c r="F143" s="26">
        <v>3.3</v>
      </c>
      <c r="G143" s="26">
        <v>13.9</v>
      </c>
      <c r="H143" s="179">
        <f t="shared" si="15"/>
        <v>17.54</v>
      </c>
      <c r="I143" s="26">
        <f t="shared" si="16"/>
        <v>57.88</v>
      </c>
      <c r="J143" s="26">
        <v>3.3</v>
      </c>
    </row>
    <row r="144" spans="1:10" ht="42" hidden="1" x14ac:dyDescent="0.3">
      <c r="A144" s="80" t="s">
        <v>276</v>
      </c>
      <c r="B144" s="80" t="s">
        <v>835</v>
      </c>
      <c r="C144" s="181">
        <v>89713</v>
      </c>
      <c r="D144" s="182" t="s">
        <v>897</v>
      </c>
      <c r="E144" s="181" t="s">
        <v>41</v>
      </c>
      <c r="F144" s="26">
        <v>1.2</v>
      </c>
      <c r="G144" s="26">
        <v>33.979999999999997</v>
      </c>
      <c r="H144" s="179">
        <f t="shared" si="15"/>
        <v>42.89</v>
      </c>
      <c r="I144" s="26">
        <f t="shared" si="16"/>
        <v>51.46</v>
      </c>
      <c r="J144" s="26">
        <v>1.2</v>
      </c>
    </row>
    <row r="145" spans="1:10" hidden="1" x14ac:dyDescent="0.3">
      <c r="A145" s="243"/>
      <c r="B145" s="243"/>
      <c r="C145" s="243"/>
      <c r="D145" s="244" t="s">
        <v>399</v>
      </c>
      <c r="E145" s="243"/>
      <c r="F145" s="245"/>
      <c r="G145" s="245"/>
      <c r="H145" s="246"/>
      <c r="I145" s="245"/>
      <c r="J145" s="245"/>
    </row>
    <row r="146" spans="1:10" ht="42" hidden="1" x14ac:dyDescent="0.3">
      <c r="A146" s="80" t="s">
        <v>276</v>
      </c>
      <c r="B146" s="80" t="s">
        <v>836</v>
      </c>
      <c r="C146" s="181">
        <v>98067</v>
      </c>
      <c r="D146" s="182" t="s">
        <v>783</v>
      </c>
      <c r="E146" s="181" t="s">
        <v>36</v>
      </c>
      <c r="F146" s="26">
        <v>1</v>
      </c>
      <c r="G146" s="26">
        <v>6455.11</v>
      </c>
      <c r="H146" s="179">
        <f>TRUNC(G146+(G146*$I$4),2)</f>
        <v>8148.93</v>
      </c>
      <c r="I146" s="26">
        <f>TRUNC(H146*F146,2)</f>
        <v>8148.93</v>
      </c>
      <c r="J146" s="26">
        <v>1</v>
      </c>
    </row>
    <row r="147" spans="1:10" ht="42" hidden="1" x14ac:dyDescent="0.3">
      <c r="A147" s="80" t="s">
        <v>276</v>
      </c>
      <c r="B147" s="80" t="s">
        <v>837</v>
      </c>
      <c r="C147" s="181">
        <v>98089</v>
      </c>
      <c r="D147" s="182" t="s">
        <v>784</v>
      </c>
      <c r="E147" s="181" t="s">
        <v>36</v>
      </c>
      <c r="F147" s="26">
        <v>1</v>
      </c>
      <c r="G147" s="26">
        <v>5411.14</v>
      </c>
      <c r="H147" s="179">
        <f>TRUNC(G147+(G147*$I$4),2)</f>
        <v>6831.02</v>
      </c>
      <c r="I147" s="26">
        <f>TRUNC(H147*F147,2)</f>
        <v>6831.02</v>
      </c>
      <c r="J147" s="26">
        <v>1</v>
      </c>
    </row>
    <row r="148" spans="1:10" ht="56" hidden="1" x14ac:dyDescent="0.3">
      <c r="A148" s="80" t="s">
        <v>276</v>
      </c>
      <c r="B148" s="80" t="s">
        <v>838</v>
      </c>
      <c r="C148" s="181">
        <v>98062</v>
      </c>
      <c r="D148" s="182" t="s">
        <v>400</v>
      </c>
      <c r="E148" s="181" t="s">
        <v>36</v>
      </c>
      <c r="F148" s="26">
        <v>1</v>
      </c>
      <c r="G148" s="26">
        <v>3392.33</v>
      </c>
      <c r="H148" s="179">
        <f>TRUNC(G148+(G148*$I$4),2)</f>
        <v>4282.47</v>
      </c>
      <c r="I148" s="26">
        <f>TRUNC(H148*F148,2)</f>
        <v>4282.47</v>
      </c>
      <c r="J148" s="26">
        <v>1</v>
      </c>
    </row>
    <row r="149" spans="1:10" hidden="1" x14ac:dyDescent="0.3">
      <c r="A149" s="27"/>
      <c r="B149" s="27" t="s">
        <v>319</v>
      </c>
      <c r="C149" s="28"/>
      <c r="D149" s="29" t="s">
        <v>359</v>
      </c>
      <c r="E149" s="28"/>
      <c r="F149" s="30"/>
      <c r="G149" s="30"/>
      <c r="H149" s="31"/>
      <c r="I149" s="30">
        <f>SUM(I151:I188)</f>
        <v>111064.31999999996</v>
      </c>
      <c r="J149" s="30"/>
    </row>
    <row r="150" spans="1:10" hidden="1" x14ac:dyDescent="0.3">
      <c r="A150" s="243"/>
      <c r="B150" s="243"/>
      <c r="C150" s="243"/>
      <c r="D150" s="244" t="s">
        <v>889</v>
      </c>
      <c r="E150" s="243"/>
      <c r="F150" s="245"/>
      <c r="G150" s="245"/>
      <c r="H150" s="246"/>
      <c r="I150" s="245"/>
      <c r="J150" s="245"/>
    </row>
    <row r="151" spans="1:10" ht="42" hidden="1" x14ac:dyDescent="0.3">
      <c r="A151" s="80" t="s">
        <v>108</v>
      </c>
      <c r="B151" s="80" t="s">
        <v>750</v>
      </c>
      <c r="C151" s="247">
        <v>101512</v>
      </c>
      <c r="D151" s="79" t="s">
        <v>755</v>
      </c>
      <c r="E151" s="181" t="s">
        <v>36</v>
      </c>
      <c r="F151" s="26">
        <v>1</v>
      </c>
      <c r="G151" s="26">
        <v>2660.12</v>
      </c>
      <c r="H151" s="179">
        <f t="shared" ref="H151:H156" si="17">G151+(G151*$I$4)</f>
        <v>3358.1354879999999</v>
      </c>
      <c r="I151" s="26">
        <f t="shared" ref="I151:I156" si="18">TRUNC(H151*F151,2)</f>
        <v>3358.13</v>
      </c>
      <c r="J151" s="26">
        <v>1</v>
      </c>
    </row>
    <row r="152" spans="1:10" ht="42" hidden="1" x14ac:dyDescent="0.3">
      <c r="A152" s="80" t="s">
        <v>276</v>
      </c>
      <c r="B152" s="80" t="s">
        <v>383</v>
      </c>
      <c r="C152" s="247">
        <v>105953</v>
      </c>
      <c r="D152" s="79" t="s">
        <v>756</v>
      </c>
      <c r="E152" s="181" t="s">
        <v>36</v>
      </c>
      <c r="F152" s="26">
        <v>1</v>
      </c>
      <c r="G152" s="26">
        <v>1712.02</v>
      </c>
      <c r="H152" s="179">
        <f t="shared" si="17"/>
        <v>2161.2540479999998</v>
      </c>
      <c r="I152" s="26">
        <f t="shared" si="18"/>
        <v>2161.25</v>
      </c>
      <c r="J152" s="26">
        <v>1</v>
      </c>
    </row>
    <row r="153" spans="1:10" ht="28" hidden="1" x14ac:dyDescent="0.3">
      <c r="A153" s="80" t="s">
        <v>276</v>
      </c>
      <c r="B153" s="80" t="s">
        <v>384</v>
      </c>
      <c r="C153" s="247">
        <v>96986</v>
      </c>
      <c r="D153" s="79" t="s">
        <v>516</v>
      </c>
      <c r="E153" s="181" t="s">
        <v>36</v>
      </c>
      <c r="F153" s="26">
        <v>1</v>
      </c>
      <c r="G153" s="26">
        <v>107.04</v>
      </c>
      <c r="H153" s="179">
        <f t="shared" si="17"/>
        <v>135.127296</v>
      </c>
      <c r="I153" s="26">
        <f t="shared" si="18"/>
        <v>135.12</v>
      </c>
      <c r="J153" s="26">
        <v>1</v>
      </c>
    </row>
    <row r="154" spans="1:10" ht="42" hidden="1" x14ac:dyDescent="0.3">
      <c r="A154" s="80" t="s">
        <v>276</v>
      </c>
      <c r="B154" s="80" t="s">
        <v>751</v>
      </c>
      <c r="C154" s="247">
        <v>97360</v>
      </c>
      <c r="D154" s="79" t="s">
        <v>361</v>
      </c>
      <c r="E154" s="181" t="s">
        <v>36</v>
      </c>
      <c r="F154" s="26">
        <v>8</v>
      </c>
      <c r="G154" s="26">
        <v>171.96</v>
      </c>
      <c r="H154" s="179">
        <f t="shared" si="17"/>
        <v>217.08230400000002</v>
      </c>
      <c r="I154" s="26">
        <f t="shared" si="18"/>
        <v>1736.65</v>
      </c>
      <c r="J154" s="26">
        <v>8</v>
      </c>
    </row>
    <row r="155" spans="1:10" ht="28" hidden="1" x14ac:dyDescent="0.3">
      <c r="A155" s="80" t="s">
        <v>276</v>
      </c>
      <c r="B155" s="80" t="s">
        <v>385</v>
      </c>
      <c r="C155" s="247">
        <v>101938</v>
      </c>
      <c r="D155" s="79" t="s">
        <v>754</v>
      </c>
      <c r="E155" s="181" t="s">
        <v>36</v>
      </c>
      <c r="F155" s="26">
        <v>1</v>
      </c>
      <c r="G155" s="26">
        <v>157.19</v>
      </c>
      <c r="H155" s="179">
        <f t="shared" si="17"/>
        <v>198.436656</v>
      </c>
      <c r="I155" s="26">
        <f t="shared" si="18"/>
        <v>198.43</v>
      </c>
      <c r="J155" s="26">
        <v>1</v>
      </c>
    </row>
    <row r="156" spans="1:10" ht="28" hidden="1" x14ac:dyDescent="0.3">
      <c r="A156" s="80" t="s">
        <v>276</v>
      </c>
      <c r="B156" s="80" t="s">
        <v>386</v>
      </c>
      <c r="C156" s="247">
        <v>101946</v>
      </c>
      <c r="D156" s="79" t="s">
        <v>753</v>
      </c>
      <c r="E156" s="181" t="s">
        <v>36</v>
      </c>
      <c r="F156" s="26">
        <v>1</v>
      </c>
      <c r="G156" s="26">
        <v>121.27</v>
      </c>
      <c r="H156" s="179">
        <f t="shared" si="17"/>
        <v>153.09124800000001</v>
      </c>
      <c r="I156" s="26">
        <f t="shared" si="18"/>
        <v>153.09</v>
      </c>
      <c r="J156" s="26">
        <v>1</v>
      </c>
    </row>
    <row r="157" spans="1:10" hidden="1" x14ac:dyDescent="0.3">
      <c r="A157" s="243"/>
      <c r="B157" s="243"/>
      <c r="C157" s="243"/>
      <c r="D157" s="244" t="s">
        <v>890</v>
      </c>
      <c r="E157" s="243"/>
      <c r="F157" s="245"/>
      <c r="G157" s="245"/>
      <c r="H157" s="246"/>
      <c r="I157" s="245"/>
      <c r="J157" s="245"/>
    </row>
    <row r="158" spans="1:10" ht="56" hidden="1" x14ac:dyDescent="0.3">
      <c r="A158" s="80" t="s">
        <v>276</v>
      </c>
      <c r="B158" s="80" t="s">
        <v>752</v>
      </c>
      <c r="C158" s="24">
        <v>101879</v>
      </c>
      <c r="D158" s="79" t="s">
        <v>757</v>
      </c>
      <c r="E158" s="24" t="s">
        <v>36</v>
      </c>
      <c r="F158" s="26">
        <v>2</v>
      </c>
      <c r="G158" s="26">
        <v>684.04</v>
      </c>
      <c r="H158" s="179">
        <f>G158+(G158*$I$4)</f>
        <v>863.53209599999991</v>
      </c>
      <c r="I158" s="26">
        <f t="shared" ref="I158:I188" si="19">TRUNC(H158*F158,2)</f>
        <v>1727.06</v>
      </c>
      <c r="J158" s="26">
        <v>2</v>
      </c>
    </row>
    <row r="159" spans="1:10" ht="56" hidden="1" x14ac:dyDescent="0.3">
      <c r="A159" s="80" t="s">
        <v>276</v>
      </c>
      <c r="B159" s="80" t="s">
        <v>387</v>
      </c>
      <c r="C159" s="24">
        <v>101883</v>
      </c>
      <c r="D159" s="79" t="s">
        <v>891</v>
      </c>
      <c r="E159" s="24" t="s">
        <v>36</v>
      </c>
      <c r="F159" s="26">
        <v>2</v>
      </c>
      <c r="G159" s="26">
        <v>654.51</v>
      </c>
      <c r="H159" s="179">
        <f>G159+(G159*$I$4)</f>
        <v>826.253424</v>
      </c>
      <c r="I159" s="26">
        <f t="shared" si="19"/>
        <v>1652.5</v>
      </c>
      <c r="J159" s="26">
        <v>2</v>
      </c>
    </row>
    <row r="160" spans="1:10" ht="42" hidden="1" x14ac:dyDescent="0.3">
      <c r="A160" s="80" t="s">
        <v>276</v>
      </c>
      <c r="B160" s="80" t="s">
        <v>388</v>
      </c>
      <c r="C160" s="24">
        <v>91856</v>
      </c>
      <c r="D160" s="25" t="s">
        <v>758</v>
      </c>
      <c r="E160" s="24" t="s">
        <v>41</v>
      </c>
      <c r="F160" s="26">
        <v>670.6</v>
      </c>
      <c r="G160" s="26">
        <v>12.01</v>
      </c>
      <c r="H160" s="179">
        <f>G160+(G160*$I$4)</f>
        <v>15.161424</v>
      </c>
      <c r="I160" s="26">
        <f t="shared" si="19"/>
        <v>10167.25</v>
      </c>
      <c r="J160" s="26">
        <v>670.6</v>
      </c>
    </row>
    <row r="161" spans="1:10" ht="42" hidden="1" x14ac:dyDescent="0.3">
      <c r="A161" s="80" t="s">
        <v>276</v>
      </c>
      <c r="B161" s="80" t="s">
        <v>389</v>
      </c>
      <c r="C161" s="24">
        <v>91854</v>
      </c>
      <c r="D161" s="25" t="s">
        <v>759</v>
      </c>
      <c r="E161" s="24" t="s">
        <v>41</v>
      </c>
      <c r="F161" s="26">
        <v>649.79999999999995</v>
      </c>
      <c r="G161" s="26">
        <v>9.3699999999999992</v>
      </c>
      <c r="H161" s="179">
        <f t="shared" ref="H161:H178" si="20">G161+(G161*$I$4)</f>
        <v>11.828688</v>
      </c>
      <c r="I161" s="26">
        <f t="shared" si="19"/>
        <v>7686.28</v>
      </c>
      <c r="J161" s="26">
        <v>649.79999999999995</v>
      </c>
    </row>
    <row r="162" spans="1:10" ht="42" hidden="1" x14ac:dyDescent="0.3">
      <c r="A162" s="80" t="s">
        <v>276</v>
      </c>
      <c r="B162" s="80" t="s">
        <v>390</v>
      </c>
      <c r="C162" s="24">
        <v>97668</v>
      </c>
      <c r="D162" s="25" t="s">
        <v>760</v>
      </c>
      <c r="E162" s="24" t="s">
        <v>41</v>
      </c>
      <c r="F162" s="26">
        <v>17.8</v>
      </c>
      <c r="G162" s="26">
        <v>11.25</v>
      </c>
      <c r="H162" s="179">
        <f t="shared" si="20"/>
        <v>14.202</v>
      </c>
      <c r="I162" s="26">
        <f t="shared" si="19"/>
        <v>252.79</v>
      </c>
      <c r="J162" s="26">
        <v>17.8</v>
      </c>
    </row>
    <row r="163" spans="1:10" ht="42" hidden="1" x14ac:dyDescent="0.3">
      <c r="A163" s="80" t="s">
        <v>276</v>
      </c>
      <c r="B163" s="80" t="s">
        <v>391</v>
      </c>
      <c r="C163" s="24">
        <v>97670</v>
      </c>
      <c r="D163" s="25" t="s">
        <v>761</v>
      </c>
      <c r="E163" s="24" t="s">
        <v>41</v>
      </c>
      <c r="F163" s="26">
        <v>6.5</v>
      </c>
      <c r="G163" s="26">
        <v>21.34</v>
      </c>
      <c r="H163" s="179">
        <f t="shared" si="20"/>
        <v>26.939616000000001</v>
      </c>
      <c r="I163" s="26">
        <f t="shared" si="19"/>
        <v>175.1</v>
      </c>
      <c r="J163" s="26">
        <v>6.5</v>
      </c>
    </row>
    <row r="164" spans="1:10" ht="42" hidden="1" x14ac:dyDescent="0.3">
      <c r="A164" s="80" t="s">
        <v>276</v>
      </c>
      <c r="B164" s="80" t="s">
        <v>392</v>
      </c>
      <c r="C164" s="24">
        <v>91924</v>
      </c>
      <c r="D164" s="79" t="s">
        <v>523</v>
      </c>
      <c r="E164" s="24" t="s">
        <v>41</v>
      </c>
      <c r="F164" s="26">
        <v>423.7</v>
      </c>
      <c r="G164" s="26">
        <v>3.24</v>
      </c>
      <c r="H164" s="179">
        <f t="shared" si="20"/>
        <v>4.0901760000000005</v>
      </c>
      <c r="I164" s="26">
        <f>TRUNC(H164*F164,2)</f>
        <v>1733</v>
      </c>
      <c r="J164" s="26">
        <v>423.7</v>
      </c>
    </row>
    <row r="165" spans="1:10" ht="42" hidden="1" x14ac:dyDescent="0.3">
      <c r="A165" s="80" t="s">
        <v>276</v>
      </c>
      <c r="B165" s="80" t="s">
        <v>393</v>
      </c>
      <c r="C165" s="24">
        <v>91926</v>
      </c>
      <c r="D165" s="79" t="s">
        <v>522</v>
      </c>
      <c r="E165" s="24" t="s">
        <v>41</v>
      </c>
      <c r="F165" s="26">
        <v>1380.3</v>
      </c>
      <c r="G165" s="26">
        <v>4.74</v>
      </c>
      <c r="H165" s="179">
        <f t="shared" si="20"/>
        <v>5.9837760000000006</v>
      </c>
      <c r="I165" s="26">
        <f>TRUNC(H165*F165,2)</f>
        <v>8259.4</v>
      </c>
      <c r="J165" s="26">
        <v>1380.3</v>
      </c>
    </row>
    <row r="166" spans="1:10" ht="42" hidden="1" x14ac:dyDescent="0.3">
      <c r="A166" s="80" t="s">
        <v>276</v>
      </c>
      <c r="B166" s="80" t="s">
        <v>394</v>
      </c>
      <c r="C166" s="24">
        <v>91928</v>
      </c>
      <c r="D166" s="79" t="s">
        <v>521</v>
      </c>
      <c r="E166" s="24" t="s">
        <v>41</v>
      </c>
      <c r="F166" s="26">
        <v>1806.2</v>
      </c>
      <c r="G166" s="26">
        <v>7.38</v>
      </c>
      <c r="H166" s="179">
        <f t="shared" si="20"/>
        <v>9.3165119999999995</v>
      </c>
      <c r="I166" s="26">
        <f>TRUNC(H166*F166,2)</f>
        <v>16827.48</v>
      </c>
      <c r="J166" s="26">
        <v>1806.2</v>
      </c>
    </row>
    <row r="167" spans="1:10" ht="42" hidden="1" x14ac:dyDescent="0.3">
      <c r="A167" s="80" t="s">
        <v>276</v>
      </c>
      <c r="B167" s="80" t="s">
        <v>395</v>
      </c>
      <c r="C167" s="24">
        <v>91930</v>
      </c>
      <c r="D167" s="79" t="s">
        <v>762</v>
      </c>
      <c r="E167" s="24" t="s">
        <v>41</v>
      </c>
      <c r="F167" s="26">
        <v>674.2</v>
      </c>
      <c r="G167" s="26">
        <v>10.35</v>
      </c>
      <c r="H167" s="179">
        <f t="shared" si="20"/>
        <v>13.06584</v>
      </c>
      <c r="I167" s="26">
        <f>TRUNC(H167*F167,2)</f>
        <v>8808.98</v>
      </c>
      <c r="J167" s="26">
        <v>674.2</v>
      </c>
    </row>
    <row r="168" spans="1:10" ht="42" hidden="1" x14ac:dyDescent="0.3">
      <c r="A168" s="80" t="s">
        <v>276</v>
      </c>
      <c r="B168" s="80" t="s">
        <v>396</v>
      </c>
      <c r="C168" s="24">
        <v>91932</v>
      </c>
      <c r="D168" s="79" t="s">
        <v>763</v>
      </c>
      <c r="E168" s="24" t="s">
        <v>41</v>
      </c>
      <c r="F168" s="26">
        <v>854.6</v>
      </c>
      <c r="G168" s="26">
        <v>18.670000000000002</v>
      </c>
      <c r="H168" s="179">
        <f>G168+(G168*$I$4)</f>
        <v>23.569008000000004</v>
      </c>
      <c r="I168" s="26">
        <f>TRUNC(H168*F168,2)</f>
        <v>20142.07</v>
      </c>
      <c r="J168" s="26">
        <v>854.6</v>
      </c>
    </row>
    <row r="169" spans="1:10" ht="42" hidden="1" x14ac:dyDescent="0.3">
      <c r="A169" s="80" t="s">
        <v>276</v>
      </c>
      <c r="B169" s="80" t="s">
        <v>397</v>
      </c>
      <c r="C169" s="24">
        <v>101562</v>
      </c>
      <c r="D169" s="79" t="s">
        <v>892</v>
      </c>
      <c r="E169" s="24" t="s">
        <v>41</v>
      </c>
      <c r="F169" s="26">
        <v>26</v>
      </c>
      <c r="G169" s="26">
        <v>28.26</v>
      </c>
      <c r="H169" s="179">
        <f t="shared" si="20"/>
        <v>35.675424</v>
      </c>
      <c r="I169" s="26">
        <f t="shared" ref="I169:I171" si="21">TRUNC(H169*F169,2)</f>
        <v>927.56</v>
      </c>
      <c r="J169" s="26">
        <v>26</v>
      </c>
    </row>
    <row r="170" spans="1:10" ht="42" hidden="1" x14ac:dyDescent="0.3">
      <c r="A170" s="80" t="s">
        <v>276</v>
      </c>
      <c r="B170" s="80" t="s">
        <v>398</v>
      </c>
      <c r="C170" s="24">
        <v>101563</v>
      </c>
      <c r="D170" s="79" t="s">
        <v>712</v>
      </c>
      <c r="E170" s="24" t="s">
        <v>41</v>
      </c>
      <c r="F170" s="26">
        <v>20.5</v>
      </c>
      <c r="G170" s="26">
        <v>29.26</v>
      </c>
      <c r="H170" s="179">
        <f t="shared" si="20"/>
        <v>36.937824000000006</v>
      </c>
      <c r="I170" s="26">
        <f t="shared" si="21"/>
        <v>757.22</v>
      </c>
      <c r="J170" s="26">
        <v>20.5</v>
      </c>
    </row>
    <row r="171" spans="1:10" ht="42" hidden="1" x14ac:dyDescent="0.3">
      <c r="A171" s="80" t="s">
        <v>276</v>
      </c>
      <c r="B171" s="80" t="s">
        <v>839</v>
      </c>
      <c r="C171" s="24">
        <v>101565</v>
      </c>
      <c r="D171" s="79" t="s">
        <v>764</v>
      </c>
      <c r="E171" s="24" t="s">
        <v>41</v>
      </c>
      <c r="F171" s="26">
        <v>81.900000000000006</v>
      </c>
      <c r="G171" s="26">
        <v>85.43</v>
      </c>
      <c r="H171" s="179">
        <f t="shared" si="20"/>
        <v>107.84683200000001</v>
      </c>
      <c r="I171" s="26">
        <f t="shared" si="21"/>
        <v>8832.65</v>
      </c>
      <c r="J171" s="26">
        <v>81.900000000000006</v>
      </c>
    </row>
    <row r="172" spans="1:10" ht="28" hidden="1" x14ac:dyDescent="0.3">
      <c r="A172" s="80" t="s">
        <v>276</v>
      </c>
      <c r="B172" s="80" t="s">
        <v>840</v>
      </c>
      <c r="C172" s="181">
        <v>93668</v>
      </c>
      <c r="D172" s="182" t="s">
        <v>360</v>
      </c>
      <c r="E172" s="181" t="s">
        <v>36</v>
      </c>
      <c r="F172" s="230">
        <v>8</v>
      </c>
      <c r="G172" s="230">
        <v>73.88</v>
      </c>
      <c r="H172" s="179">
        <f t="shared" si="20"/>
        <v>93.266111999999993</v>
      </c>
      <c r="I172" s="26">
        <f t="shared" si="19"/>
        <v>746.12</v>
      </c>
      <c r="J172" s="230">
        <v>8</v>
      </c>
    </row>
    <row r="173" spans="1:10" ht="28" hidden="1" x14ac:dyDescent="0.3">
      <c r="A173" s="80" t="s">
        <v>276</v>
      </c>
      <c r="B173" s="80" t="s">
        <v>841</v>
      </c>
      <c r="C173" s="181">
        <v>93653</v>
      </c>
      <c r="D173" s="182" t="s">
        <v>765</v>
      </c>
      <c r="E173" s="181" t="s">
        <v>36</v>
      </c>
      <c r="F173" s="230">
        <v>3</v>
      </c>
      <c r="G173" s="230">
        <v>12.2</v>
      </c>
      <c r="H173" s="179">
        <f t="shared" si="20"/>
        <v>15.40128</v>
      </c>
      <c r="I173" s="26">
        <f t="shared" si="19"/>
        <v>46.2</v>
      </c>
      <c r="J173" s="230">
        <v>3</v>
      </c>
    </row>
    <row r="174" spans="1:10" ht="28" hidden="1" x14ac:dyDescent="0.3">
      <c r="A174" s="80" t="s">
        <v>276</v>
      </c>
      <c r="B174" s="80" t="s">
        <v>842</v>
      </c>
      <c r="C174" s="181">
        <v>93655</v>
      </c>
      <c r="D174" s="182" t="s">
        <v>766</v>
      </c>
      <c r="E174" s="181" t="s">
        <v>36</v>
      </c>
      <c r="F174" s="230">
        <v>2</v>
      </c>
      <c r="G174" s="230">
        <v>13.13</v>
      </c>
      <c r="H174" s="179">
        <f t="shared" si="20"/>
        <v>16.575312</v>
      </c>
      <c r="I174" s="26">
        <f t="shared" si="19"/>
        <v>33.15</v>
      </c>
      <c r="J174" s="230">
        <v>2</v>
      </c>
    </row>
    <row r="175" spans="1:10" ht="28" hidden="1" x14ac:dyDescent="0.3">
      <c r="A175" s="80" t="s">
        <v>276</v>
      </c>
      <c r="B175" s="80" t="s">
        <v>843</v>
      </c>
      <c r="C175" s="181">
        <v>93656</v>
      </c>
      <c r="D175" s="182" t="s">
        <v>699</v>
      </c>
      <c r="E175" s="181" t="s">
        <v>36</v>
      </c>
      <c r="F175" s="230">
        <v>1</v>
      </c>
      <c r="G175" s="230">
        <v>13.99</v>
      </c>
      <c r="H175" s="179">
        <f t="shared" si="20"/>
        <v>17.660976000000002</v>
      </c>
      <c r="I175" s="26">
        <f t="shared" si="19"/>
        <v>17.66</v>
      </c>
      <c r="J175" s="230">
        <v>1</v>
      </c>
    </row>
    <row r="176" spans="1:10" ht="28" hidden="1" x14ac:dyDescent="0.3">
      <c r="A176" s="80" t="s">
        <v>276</v>
      </c>
      <c r="B176" s="80" t="s">
        <v>844</v>
      </c>
      <c r="C176" s="181">
        <v>93657</v>
      </c>
      <c r="D176" s="182" t="s">
        <v>767</v>
      </c>
      <c r="E176" s="181" t="s">
        <v>36</v>
      </c>
      <c r="F176" s="230">
        <v>1</v>
      </c>
      <c r="G176" s="230">
        <v>15.49</v>
      </c>
      <c r="H176" s="179">
        <f t="shared" si="20"/>
        <v>19.554576000000001</v>
      </c>
      <c r="I176" s="26">
        <f t="shared" si="19"/>
        <v>19.55</v>
      </c>
      <c r="J176" s="230">
        <v>1</v>
      </c>
    </row>
    <row r="177" spans="1:10" ht="28" hidden="1" x14ac:dyDescent="0.3">
      <c r="A177" s="80" t="s">
        <v>276</v>
      </c>
      <c r="B177" s="80" t="s">
        <v>845</v>
      </c>
      <c r="C177" s="181">
        <v>101893</v>
      </c>
      <c r="D177" s="182" t="s">
        <v>768</v>
      </c>
      <c r="E177" s="181" t="s">
        <v>36</v>
      </c>
      <c r="F177" s="230">
        <v>3</v>
      </c>
      <c r="G177" s="230">
        <v>94.73</v>
      </c>
      <c r="H177" s="179">
        <f t="shared" si="20"/>
        <v>119.587152</v>
      </c>
      <c r="I177" s="26">
        <f t="shared" si="19"/>
        <v>358.76</v>
      </c>
      <c r="J177" s="230">
        <v>3</v>
      </c>
    </row>
    <row r="178" spans="1:10" ht="28" hidden="1" x14ac:dyDescent="0.3">
      <c r="A178" s="80" t="s">
        <v>276</v>
      </c>
      <c r="B178" s="80" t="s">
        <v>846</v>
      </c>
      <c r="C178" s="181">
        <v>101894</v>
      </c>
      <c r="D178" s="182" t="s">
        <v>769</v>
      </c>
      <c r="E178" s="181" t="s">
        <v>36</v>
      </c>
      <c r="F178" s="230">
        <v>1</v>
      </c>
      <c r="G178" s="230">
        <v>159.69999999999999</v>
      </c>
      <c r="H178" s="179">
        <f t="shared" si="20"/>
        <v>201.60527999999999</v>
      </c>
      <c r="I178" s="26">
        <f t="shared" si="19"/>
        <v>201.6</v>
      </c>
      <c r="J178" s="230">
        <v>1</v>
      </c>
    </row>
    <row r="179" spans="1:10" hidden="1" x14ac:dyDescent="0.3">
      <c r="A179" s="243"/>
      <c r="B179" s="243"/>
      <c r="C179" s="243"/>
      <c r="D179" s="244" t="s">
        <v>362</v>
      </c>
      <c r="E179" s="243"/>
      <c r="F179" s="245"/>
      <c r="G179" s="245"/>
      <c r="H179" s="246"/>
      <c r="I179" s="245"/>
      <c r="J179" s="245"/>
    </row>
    <row r="180" spans="1:10" ht="42" hidden="1" x14ac:dyDescent="0.3">
      <c r="A180" s="80" t="s">
        <v>276</v>
      </c>
      <c r="B180" s="80" t="s">
        <v>847</v>
      </c>
      <c r="C180" s="24">
        <v>91941</v>
      </c>
      <c r="D180" s="25" t="s">
        <v>525</v>
      </c>
      <c r="E180" s="181" t="s">
        <v>36</v>
      </c>
      <c r="F180" s="26">
        <v>113</v>
      </c>
      <c r="G180" s="26">
        <v>11.52</v>
      </c>
      <c r="H180" s="179">
        <f>G180+(G180*$I$4)</f>
        <v>14.542847999999999</v>
      </c>
      <c r="I180" s="26">
        <f t="shared" si="19"/>
        <v>1643.34</v>
      </c>
      <c r="J180" s="26">
        <v>113</v>
      </c>
    </row>
    <row r="181" spans="1:10" ht="28" hidden="1" x14ac:dyDescent="0.3">
      <c r="A181" s="80" t="s">
        <v>276</v>
      </c>
      <c r="B181" s="80" t="s">
        <v>848</v>
      </c>
      <c r="C181" s="24">
        <v>91937</v>
      </c>
      <c r="D181" s="25" t="s">
        <v>526</v>
      </c>
      <c r="E181" s="181" t="s">
        <v>36</v>
      </c>
      <c r="F181" s="26">
        <v>73</v>
      </c>
      <c r="G181" s="26">
        <v>15.83</v>
      </c>
      <c r="H181" s="179">
        <f t="shared" ref="H181:H188" si="22">G181+(G181*$I$4)</f>
        <v>19.983792000000001</v>
      </c>
      <c r="I181" s="26">
        <f>TRUNC(H181*F181,2)</f>
        <v>1458.81</v>
      </c>
      <c r="J181" s="26">
        <v>73</v>
      </c>
    </row>
    <row r="182" spans="1:10" ht="28" hidden="1" x14ac:dyDescent="0.3">
      <c r="A182" s="80" t="s">
        <v>276</v>
      </c>
      <c r="B182" s="80" t="s">
        <v>849</v>
      </c>
      <c r="C182" s="24">
        <v>91953</v>
      </c>
      <c r="D182" s="25" t="s">
        <v>529</v>
      </c>
      <c r="E182" s="181" t="s">
        <v>36</v>
      </c>
      <c r="F182" s="26">
        <v>12</v>
      </c>
      <c r="G182" s="26">
        <v>28.65</v>
      </c>
      <c r="H182" s="179">
        <f t="shared" si="22"/>
        <v>36.167760000000001</v>
      </c>
      <c r="I182" s="26">
        <f>TRUNC(H182*F182,2)</f>
        <v>434.01</v>
      </c>
      <c r="J182" s="26">
        <v>12</v>
      </c>
    </row>
    <row r="183" spans="1:10" ht="28" hidden="1" x14ac:dyDescent="0.3">
      <c r="A183" s="80" t="s">
        <v>276</v>
      </c>
      <c r="B183" s="80" t="s">
        <v>850</v>
      </c>
      <c r="C183" s="24">
        <v>91959</v>
      </c>
      <c r="D183" s="25" t="s">
        <v>770</v>
      </c>
      <c r="E183" s="181" t="s">
        <v>36</v>
      </c>
      <c r="F183" s="26">
        <v>1</v>
      </c>
      <c r="G183" s="26">
        <v>43.63</v>
      </c>
      <c r="H183" s="179">
        <f t="shared" si="22"/>
        <v>55.078512000000003</v>
      </c>
      <c r="I183" s="26">
        <f>TRUNC(H183*F183,2)</f>
        <v>55.07</v>
      </c>
      <c r="J183" s="26">
        <v>1</v>
      </c>
    </row>
    <row r="184" spans="1:10" ht="42" hidden="1" x14ac:dyDescent="0.3">
      <c r="A184" s="80" t="s">
        <v>276</v>
      </c>
      <c r="B184" s="80" t="s">
        <v>851</v>
      </c>
      <c r="C184" s="24">
        <v>92023</v>
      </c>
      <c r="D184" s="25" t="s">
        <v>527</v>
      </c>
      <c r="E184" s="24" t="s">
        <v>36</v>
      </c>
      <c r="F184" s="26">
        <v>8</v>
      </c>
      <c r="G184" s="26">
        <v>48.73</v>
      </c>
      <c r="H184" s="179">
        <f t="shared" si="22"/>
        <v>61.516751999999997</v>
      </c>
      <c r="I184" s="26">
        <f t="shared" si="19"/>
        <v>492.13</v>
      </c>
      <c r="J184" s="26">
        <v>8</v>
      </c>
    </row>
    <row r="185" spans="1:10" ht="28" hidden="1" x14ac:dyDescent="0.3">
      <c r="A185" s="80" t="s">
        <v>276</v>
      </c>
      <c r="B185" s="80" t="s">
        <v>852</v>
      </c>
      <c r="C185" s="181">
        <v>92000</v>
      </c>
      <c r="D185" s="182" t="s">
        <v>528</v>
      </c>
      <c r="E185" s="181" t="s">
        <v>36</v>
      </c>
      <c r="F185" s="230">
        <v>68</v>
      </c>
      <c r="G185" s="230">
        <v>30.03</v>
      </c>
      <c r="H185" s="179">
        <f t="shared" si="22"/>
        <v>37.909872</v>
      </c>
      <c r="I185" s="26">
        <f t="shared" si="19"/>
        <v>2577.87</v>
      </c>
      <c r="J185" s="230">
        <v>68</v>
      </c>
    </row>
    <row r="186" spans="1:10" ht="42" hidden="1" x14ac:dyDescent="0.3">
      <c r="A186" s="80" t="s">
        <v>276</v>
      </c>
      <c r="B186" s="80" t="s">
        <v>853</v>
      </c>
      <c r="C186" s="181">
        <v>92009</v>
      </c>
      <c r="D186" s="182" t="s">
        <v>771</v>
      </c>
      <c r="E186" s="181" t="s">
        <v>36</v>
      </c>
      <c r="F186" s="230">
        <v>11</v>
      </c>
      <c r="G186" s="230">
        <v>50.44</v>
      </c>
      <c r="H186" s="179">
        <f t="shared" si="22"/>
        <v>63.675455999999997</v>
      </c>
      <c r="I186" s="26">
        <f t="shared" si="19"/>
        <v>700.43</v>
      </c>
      <c r="J186" s="230">
        <v>11</v>
      </c>
    </row>
    <row r="187" spans="1:10" hidden="1" x14ac:dyDescent="0.3">
      <c r="A187" s="80" t="s">
        <v>773</v>
      </c>
      <c r="B187" s="80" t="s">
        <v>854</v>
      </c>
      <c r="C187" s="80" t="s">
        <v>772</v>
      </c>
      <c r="D187" s="272" t="s">
        <v>894</v>
      </c>
      <c r="E187" s="181" t="s">
        <v>36</v>
      </c>
      <c r="F187" s="248">
        <v>32</v>
      </c>
      <c r="G187" s="230">
        <v>54</v>
      </c>
      <c r="H187" s="179">
        <f t="shared" si="22"/>
        <v>68.169600000000003</v>
      </c>
      <c r="I187" s="26">
        <f t="shared" si="19"/>
        <v>2181.42</v>
      </c>
      <c r="J187" s="248">
        <v>32</v>
      </c>
    </row>
    <row r="188" spans="1:10" hidden="1" x14ac:dyDescent="0.3">
      <c r="A188" s="80" t="s">
        <v>773</v>
      </c>
      <c r="B188" s="80" t="s">
        <v>854</v>
      </c>
      <c r="C188" s="80" t="s">
        <v>772</v>
      </c>
      <c r="D188" s="272" t="s">
        <v>893</v>
      </c>
      <c r="E188" s="181" t="s">
        <v>36</v>
      </c>
      <c r="F188" s="248">
        <v>41</v>
      </c>
      <c r="G188" s="230">
        <v>85.13</v>
      </c>
      <c r="H188" s="179">
        <f t="shared" si="22"/>
        <v>107.46811199999999</v>
      </c>
      <c r="I188" s="26">
        <f t="shared" si="19"/>
        <v>4406.1899999999996</v>
      </c>
      <c r="J188" s="248">
        <v>41</v>
      </c>
    </row>
    <row r="189" spans="1:10" hidden="1" x14ac:dyDescent="0.3">
      <c r="A189" s="27"/>
      <c r="B189" s="27" t="s">
        <v>320</v>
      </c>
      <c r="C189" s="294"/>
      <c r="D189" s="297" t="s">
        <v>357</v>
      </c>
      <c r="E189" s="295"/>
      <c r="F189" s="30"/>
      <c r="G189" s="30"/>
      <c r="H189" s="31"/>
      <c r="I189" s="30">
        <f>SUM(I190:I195)</f>
        <v>62009.69</v>
      </c>
      <c r="J189" s="30"/>
    </row>
    <row r="190" spans="1:10" hidden="1" x14ac:dyDescent="0.3">
      <c r="A190" s="33"/>
      <c r="B190" s="33"/>
      <c r="C190" s="33"/>
      <c r="D190" s="296" t="s">
        <v>811</v>
      </c>
      <c r="E190" s="33"/>
      <c r="F190" s="35"/>
      <c r="G190" s="35"/>
      <c r="H190" s="36"/>
      <c r="I190" s="35"/>
      <c r="J190" s="35"/>
    </row>
    <row r="191" spans="1:10" ht="28" hidden="1" x14ac:dyDescent="0.3">
      <c r="A191" s="80" t="s">
        <v>276</v>
      </c>
      <c r="B191" s="80" t="s">
        <v>524</v>
      </c>
      <c r="C191" s="181">
        <v>88489</v>
      </c>
      <c r="D191" s="182" t="s">
        <v>364</v>
      </c>
      <c r="E191" s="181" t="s">
        <v>29</v>
      </c>
      <c r="F191" s="26">
        <f>F54-F193</f>
        <v>2479.36</v>
      </c>
      <c r="G191" s="26">
        <v>12.92</v>
      </c>
      <c r="H191" s="179">
        <f>TRUNC(G191+(G191*$I$4),2)</f>
        <v>16.309999999999999</v>
      </c>
      <c r="I191" s="26">
        <f>TRUNC(H191*F191,2)</f>
        <v>40438.36</v>
      </c>
      <c r="J191" s="26">
        <f>J54-J193</f>
        <v>1159.6300000000001</v>
      </c>
    </row>
    <row r="192" spans="1:10" hidden="1" x14ac:dyDescent="0.3">
      <c r="A192" s="33"/>
      <c r="B192" s="33"/>
      <c r="C192" s="33"/>
      <c r="D192" s="34" t="s">
        <v>630</v>
      </c>
      <c r="E192" s="33"/>
      <c r="F192" s="35"/>
      <c r="G192" s="35"/>
      <c r="H192" s="36"/>
      <c r="I192" s="35"/>
      <c r="J192" s="35"/>
    </row>
    <row r="193" spans="1:10" ht="42" hidden="1" x14ac:dyDescent="0.3">
      <c r="A193" s="80" t="s">
        <v>276</v>
      </c>
      <c r="B193" s="80" t="s">
        <v>855</v>
      </c>
      <c r="C193" s="181">
        <v>104611</v>
      </c>
      <c r="D193" s="242" t="s">
        <v>886</v>
      </c>
      <c r="E193" s="181" t="s">
        <v>29</v>
      </c>
      <c r="F193" s="26">
        <v>160.1</v>
      </c>
      <c r="G193" s="26">
        <v>104.23</v>
      </c>
      <c r="H193" s="179">
        <f>TRUNC(G193+(G193*$I$4),2)</f>
        <v>131.57</v>
      </c>
      <c r="I193" s="26">
        <f>TRUNC(H193*F193,2)</f>
        <v>21064.35</v>
      </c>
      <c r="J193" s="26">
        <v>160.1</v>
      </c>
    </row>
    <row r="194" spans="1:10" hidden="1" x14ac:dyDescent="0.3">
      <c r="A194" s="33"/>
      <c r="B194" s="33"/>
      <c r="C194" s="33"/>
      <c r="D194" s="34" t="s">
        <v>809</v>
      </c>
      <c r="E194" s="33"/>
      <c r="F194" s="35"/>
      <c r="G194" s="35"/>
      <c r="H194" s="36"/>
      <c r="I194" s="35"/>
      <c r="J194" s="35"/>
    </row>
    <row r="195" spans="1:10" ht="28" hidden="1" x14ac:dyDescent="0.3">
      <c r="A195" s="80" t="s">
        <v>276</v>
      </c>
      <c r="B195" s="80" t="s">
        <v>856</v>
      </c>
      <c r="C195" s="181">
        <v>102213</v>
      </c>
      <c r="D195" s="242" t="s">
        <v>810</v>
      </c>
      <c r="E195" s="181" t="s">
        <v>29</v>
      </c>
      <c r="F195" s="26">
        <v>19.11</v>
      </c>
      <c r="G195" s="26">
        <v>21.02</v>
      </c>
      <c r="H195" s="179">
        <f>TRUNC(G195+(G195*$I$4),2)</f>
        <v>26.53</v>
      </c>
      <c r="I195" s="26">
        <f>TRUNC(H195*F195,2)</f>
        <v>506.98</v>
      </c>
      <c r="J195" s="26">
        <v>19.11</v>
      </c>
    </row>
    <row r="196" spans="1:10" hidden="1" x14ac:dyDescent="0.3">
      <c r="A196" s="27"/>
      <c r="B196" s="27" t="s">
        <v>321</v>
      </c>
      <c r="C196" s="28"/>
      <c r="D196" s="29" t="s">
        <v>795</v>
      </c>
      <c r="E196" s="28"/>
      <c r="F196" s="30"/>
      <c r="G196" s="30"/>
      <c r="H196" s="31"/>
      <c r="I196" s="30">
        <f>SUM(I197:I197)</f>
        <v>5105</v>
      </c>
      <c r="J196" s="30"/>
    </row>
    <row r="197" spans="1:10" ht="48" hidden="1" customHeight="1" x14ac:dyDescent="0.3">
      <c r="A197" s="80" t="s">
        <v>276</v>
      </c>
      <c r="B197" s="80" t="s">
        <v>576</v>
      </c>
      <c r="C197" s="24">
        <v>94990</v>
      </c>
      <c r="D197" s="25" t="s">
        <v>315</v>
      </c>
      <c r="E197" s="24" t="s">
        <v>32</v>
      </c>
      <c r="F197" s="26">
        <v>4.58</v>
      </c>
      <c r="G197" s="26">
        <v>882.95</v>
      </c>
      <c r="H197" s="179">
        <f>TRUNC(G197+(G197*$I$4),2)</f>
        <v>1114.6300000000001</v>
      </c>
      <c r="I197" s="26">
        <f>TRUNC(H197*F197,2)</f>
        <v>5105</v>
      </c>
      <c r="J197" s="26">
        <v>4.58</v>
      </c>
    </row>
    <row r="198" spans="1:10" hidden="1" x14ac:dyDescent="0.3">
      <c r="A198" s="27"/>
      <c r="B198" s="27" t="s">
        <v>322</v>
      </c>
      <c r="C198" s="28"/>
      <c r="D198" s="29" t="s">
        <v>363</v>
      </c>
      <c r="E198" s="28"/>
      <c r="F198" s="30"/>
      <c r="G198" s="30"/>
      <c r="H198" s="31"/>
      <c r="I198" s="30">
        <f>SUM(I199:I208)</f>
        <v>19583.88</v>
      </c>
      <c r="J198" s="30"/>
    </row>
    <row r="199" spans="1:10" hidden="1" x14ac:dyDescent="0.3">
      <c r="A199" s="33"/>
      <c r="B199" s="33"/>
      <c r="C199" s="33"/>
      <c r="D199" s="34" t="s">
        <v>799</v>
      </c>
      <c r="E199" s="33"/>
      <c r="F199" s="35"/>
      <c r="G199" s="35"/>
      <c r="H199" s="36"/>
      <c r="I199" s="35"/>
      <c r="J199" s="35"/>
    </row>
    <row r="200" spans="1:10" ht="42" hidden="1" x14ac:dyDescent="0.3">
      <c r="A200" s="80" t="s">
        <v>276</v>
      </c>
      <c r="B200" s="80" t="s">
        <v>857</v>
      </c>
      <c r="C200" s="80">
        <v>101905</v>
      </c>
      <c r="D200" s="25" t="s">
        <v>800</v>
      </c>
      <c r="E200" s="24" t="s">
        <v>42</v>
      </c>
      <c r="F200" s="26">
        <v>1</v>
      </c>
      <c r="G200" s="26">
        <v>224.52</v>
      </c>
      <c r="H200" s="179">
        <f>TRUNC(G200+(G200*$I$4),2)+0.01</f>
        <v>283.44</v>
      </c>
      <c r="I200" s="26">
        <f>TRUNC(H200*F200,2)</f>
        <v>283.44</v>
      </c>
      <c r="J200" s="26">
        <v>1</v>
      </c>
    </row>
    <row r="201" spans="1:10" ht="28" hidden="1" x14ac:dyDescent="0.3">
      <c r="A201" s="80" t="s">
        <v>276</v>
      </c>
      <c r="B201" s="80" t="s">
        <v>858</v>
      </c>
      <c r="C201" s="80">
        <v>101905</v>
      </c>
      <c r="D201" s="25" t="s">
        <v>801</v>
      </c>
      <c r="E201" s="24" t="s">
        <v>42</v>
      </c>
      <c r="F201" s="26">
        <v>3</v>
      </c>
      <c r="G201" s="26">
        <v>253.27</v>
      </c>
      <c r="H201" s="179">
        <f>TRUNC(G201+(G201*$I$4),2)+0.01</f>
        <v>319.73</v>
      </c>
      <c r="I201" s="26">
        <f>TRUNC(H201*F201,2)</f>
        <v>959.19</v>
      </c>
      <c r="J201" s="26">
        <v>3</v>
      </c>
    </row>
    <row r="202" spans="1:10" ht="28" hidden="1" x14ac:dyDescent="0.3">
      <c r="A202" s="80" t="s">
        <v>276</v>
      </c>
      <c r="B202" s="80" t="s">
        <v>859</v>
      </c>
      <c r="C202" s="80">
        <v>97599</v>
      </c>
      <c r="D202" s="25" t="s">
        <v>802</v>
      </c>
      <c r="E202" s="24" t="s">
        <v>42</v>
      </c>
      <c r="F202" s="26">
        <v>10</v>
      </c>
      <c r="G202" s="26">
        <v>16.11</v>
      </c>
      <c r="H202" s="179">
        <f>TRUNC(G202+(G202*$I$4),2)+0.01</f>
        <v>20.34</v>
      </c>
      <c r="I202" s="26">
        <f>TRUNC(H202*F202,2)</f>
        <v>203.4</v>
      </c>
      <c r="J202" s="26">
        <v>10</v>
      </c>
    </row>
    <row r="203" spans="1:10" ht="56" hidden="1" x14ac:dyDescent="0.3">
      <c r="A203" s="80" t="s">
        <v>773</v>
      </c>
      <c r="B203" s="80" t="s">
        <v>860</v>
      </c>
      <c r="C203" s="80" t="s">
        <v>772</v>
      </c>
      <c r="D203" s="25" t="s">
        <v>803</v>
      </c>
      <c r="E203" s="24" t="s">
        <v>42</v>
      </c>
      <c r="F203" s="26">
        <v>5</v>
      </c>
      <c r="G203" s="26">
        <v>29</v>
      </c>
      <c r="H203" s="179">
        <f>TRUNC(G203+(G203*$I$4),2)+0.01</f>
        <v>36.61</v>
      </c>
      <c r="I203" s="26">
        <f>TRUNC(H203*F203,2)</f>
        <v>183.05</v>
      </c>
      <c r="J203" s="26">
        <v>5</v>
      </c>
    </row>
    <row r="204" spans="1:10" ht="56" hidden="1" x14ac:dyDescent="0.3">
      <c r="A204" s="80" t="s">
        <v>773</v>
      </c>
      <c r="B204" s="80" t="s">
        <v>861</v>
      </c>
      <c r="C204" s="80" t="s">
        <v>772</v>
      </c>
      <c r="D204" s="25" t="s">
        <v>804</v>
      </c>
      <c r="E204" s="24" t="s">
        <v>42</v>
      </c>
      <c r="F204" s="26">
        <v>4</v>
      </c>
      <c r="G204" s="26">
        <v>31</v>
      </c>
      <c r="H204" s="179">
        <f>TRUNC(G204+(G204*$I$4),2)+0.01</f>
        <v>39.14</v>
      </c>
      <c r="I204" s="26">
        <f>TRUNC(H204*F204,2)</f>
        <v>156.56</v>
      </c>
      <c r="J204" s="26">
        <v>4</v>
      </c>
    </row>
    <row r="205" spans="1:10" hidden="1" x14ac:dyDescent="0.3">
      <c r="A205" s="33"/>
      <c r="B205" s="33"/>
      <c r="C205" s="33"/>
      <c r="D205" s="34" t="s">
        <v>807</v>
      </c>
      <c r="E205" s="33"/>
      <c r="F205" s="35"/>
      <c r="G205" s="35"/>
      <c r="H205" s="36"/>
      <c r="I205" s="35"/>
      <c r="J205" s="35"/>
    </row>
    <row r="206" spans="1:10" ht="42" hidden="1" x14ac:dyDescent="0.3">
      <c r="A206" s="80" t="s">
        <v>276</v>
      </c>
      <c r="B206" s="80" t="s">
        <v>862</v>
      </c>
      <c r="C206" s="80">
        <v>100872</v>
      </c>
      <c r="D206" s="25" t="s">
        <v>808</v>
      </c>
      <c r="E206" s="24" t="s">
        <v>42</v>
      </c>
      <c r="F206" s="26">
        <v>2</v>
      </c>
      <c r="G206" s="26">
        <v>343.27</v>
      </c>
      <c r="H206" s="179">
        <f>TRUNC(G206+(G206*$I$4),2)+0.01</f>
        <v>433.34999999999997</v>
      </c>
      <c r="I206" s="26">
        <f>TRUNC(H206*F206,2)</f>
        <v>866.7</v>
      </c>
      <c r="J206" s="26">
        <v>2</v>
      </c>
    </row>
    <row r="207" spans="1:10" hidden="1" x14ac:dyDescent="0.3">
      <c r="A207" s="33"/>
      <c r="B207" s="33"/>
      <c r="C207" s="33"/>
      <c r="D207" s="34" t="s">
        <v>679</v>
      </c>
      <c r="E207" s="33"/>
      <c r="F207" s="35"/>
      <c r="G207" s="35"/>
      <c r="H207" s="36"/>
      <c r="I207" s="35"/>
      <c r="J207" s="35"/>
    </row>
    <row r="208" spans="1:10" hidden="1" x14ac:dyDescent="0.3">
      <c r="A208" s="80" t="s">
        <v>334</v>
      </c>
      <c r="B208" s="80" t="s">
        <v>863</v>
      </c>
      <c r="C208" s="80" t="s">
        <v>335</v>
      </c>
      <c r="D208" s="25" t="s">
        <v>336</v>
      </c>
      <c r="E208" s="24" t="s">
        <v>29</v>
      </c>
      <c r="F208" s="26">
        <f>F86+F91</f>
        <v>4455.67</v>
      </c>
      <c r="G208" s="26">
        <v>3.01</v>
      </c>
      <c r="H208" s="179">
        <f>TRUNC(G208+(G208*$I$4),2)+0.01</f>
        <v>3.8</v>
      </c>
      <c r="I208" s="26">
        <f>TRUNC(H208*F208,2)</f>
        <v>16931.54</v>
      </c>
      <c r="J208" s="26">
        <f>J86+J91</f>
        <v>2227.835</v>
      </c>
    </row>
    <row r="209" spans="1:11" hidden="1" x14ac:dyDescent="0.3">
      <c r="A209" s="425"/>
      <c r="B209" s="426"/>
      <c r="C209" s="427"/>
      <c r="D209" s="427"/>
      <c r="E209" s="427"/>
      <c r="F209" s="427"/>
      <c r="G209" s="428"/>
      <c r="H209" s="83" t="s">
        <v>12</v>
      </c>
      <c r="I209" s="84">
        <f>SUM(I7:I208)/2</f>
        <v>2692487.4000000022</v>
      </c>
      <c r="J209" s="708"/>
      <c r="K209" s="159" t="e">
        <f>I198+I196+I189+I149+I92+I84+I71+#REF!+I57+I53+I48+I16+I9+I7</f>
        <v>#REF!</v>
      </c>
    </row>
    <row r="210" spans="1:11" hidden="1" x14ac:dyDescent="0.3">
      <c r="A210" s="388" t="s">
        <v>137</v>
      </c>
      <c r="B210" s="413"/>
      <c r="C210" s="413"/>
      <c r="D210" s="389"/>
      <c r="E210" s="388" t="s">
        <v>141</v>
      </c>
      <c r="F210" s="389"/>
      <c r="G210" s="458"/>
      <c r="H210" s="458"/>
      <c r="I210" s="459"/>
      <c r="J210" s="709"/>
    </row>
    <row r="211" spans="1:11" ht="14.5" hidden="1" thickBot="1" x14ac:dyDescent="0.35">
      <c r="A211" s="390"/>
      <c r="B211" s="414"/>
      <c r="C211" s="414"/>
      <c r="D211" s="391"/>
      <c r="E211" s="390"/>
      <c r="F211" s="391"/>
      <c r="G211" s="460"/>
      <c r="H211" s="460"/>
      <c r="I211" s="461"/>
      <c r="J211" s="709"/>
    </row>
    <row r="212" spans="1:11" hidden="1" x14ac:dyDescent="0.3">
      <c r="A212" s="462"/>
      <c r="B212" s="463"/>
      <c r="C212" s="463"/>
      <c r="D212" s="464"/>
      <c r="E212" s="397" t="s">
        <v>142</v>
      </c>
      <c r="F212" s="398"/>
      <c r="G212" s="398"/>
      <c r="H212" s="398"/>
      <c r="I212" s="399"/>
      <c r="J212" s="299"/>
    </row>
    <row r="213" spans="1:11" hidden="1" x14ac:dyDescent="0.3">
      <c r="A213" s="356"/>
      <c r="B213" s="357"/>
      <c r="C213" s="357"/>
      <c r="D213" s="465"/>
      <c r="E213" s="406"/>
      <c r="F213" s="376"/>
      <c r="G213" s="376"/>
      <c r="H213" s="376"/>
      <c r="I213" s="377"/>
      <c r="J213" s="299"/>
    </row>
    <row r="214" spans="1:11" hidden="1" x14ac:dyDescent="0.3">
      <c r="A214" s="418" t="s">
        <v>13</v>
      </c>
      <c r="B214" s="419"/>
      <c r="C214" s="419"/>
      <c r="D214" s="420"/>
      <c r="E214" s="407"/>
      <c r="F214" s="408"/>
      <c r="G214" s="408"/>
      <c r="H214" s="408"/>
      <c r="I214" s="409"/>
      <c r="J214" s="298"/>
    </row>
    <row r="215" spans="1:11" ht="14.5" hidden="1" thickBot="1" x14ac:dyDescent="0.35">
      <c r="A215" s="400" t="s">
        <v>700</v>
      </c>
      <c r="B215" s="466"/>
      <c r="C215" s="466"/>
      <c r="D215" s="467"/>
      <c r="E215" s="410"/>
      <c r="F215" s="411"/>
      <c r="G215" s="411"/>
      <c r="H215" s="411"/>
      <c r="I215" s="412"/>
      <c r="J215" s="298"/>
    </row>
    <row r="216" spans="1:11" ht="15.5" x14ac:dyDescent="0.3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1" ht="15.5" x14ac:dyDescent="0.3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1" x14ac:dyDescent="0.3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1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1" x14ac:dyDescent="0.3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1" x14ac:dyDescent="0.3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1" x14ac:dyDescent="0.3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1" x14ac:dyDescent="0.3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x14ac:dyDescent="0.3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</sheetData>
  <mergeCells count="19">
    <mergeCell ref="A214:D214"/>
    <mergeCell ref="E214:I214"/>
    <mergeCell ref="A215:D215"/>
    <mergeCell ref="E215:I215"/>
    <mergeCell ref="A5:J5"/>
    <mergeCell ref="A209:G209"/>
    <mergeCell ref="A210:D211"/>
    <mergeCell ref="E210:F211"/>
    <mergeCell ref="G210:I211"/>
    <mergeCell ref="A212:D213"/>
    <mergeCell ref="E212:I212"/>
    <mergeCell ref="E213:I213"/>
    <mergeCell ref="B1:F1"/>
    <mergeCell ref="G1:H2"/>
    <mergeCell ref="B2:F2"/>
    <mergeCell ref="B3:F3"/>
    <mergeCell ref="G3:H3"/>
    <mergeCell ref="B4:F4"/>
    <mergeCell ref="G4:H4"/>
  </mergeCells>
  <pageMargins left="0.7" right="0.7" top="1.1850000000000001" bottom="0.75" header="0.3" footer="0.43125000000000002"/>
  <pageSetup paperSize="9" scale="83" fitToHeight="0" orientation="landscape" r:id="rId1"/>
  <headerFooter>
    <oddHeader>&amp;L&amp;G</oddHeader>
    <oddFooter>&amp;CRua Rui Barbosa, 310 - Centro - Araputanga-MT – Cel: (65) 99613-9294 E-mail: carolina.o.almeida@hotmail.com / escalaprojeta@gmail.com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2"/>
  <sheetViews>
    <sheetView tabSelected="1" view="pageBreakPreview" zoomScaleNormal="100" zoomScaleSheetLayoutView="100" workbookViewId="0">
      <selection activeCell="N17" sqref="N17"/>
    </sheetView>
  </sheetViews>
  <sheetFormatPr defaultColWidth="12.6640625" defaultRowHeight="15" customHeight="1" x14ac:dyDescent="0.3"/>
  <cols>
    <col min="1" max="1" width="10.83203125" customWidth="1"/>
    <col min="2" max="3" width="7.6640625" customWidth="1"/>
    <col min="4" max="4" width="31.6640625" customWidth="1"/>
    <col min="5" max="5" width="28.5" customWidth="1"/>
    <col min="6" max="6" width="18.25" customWidth="1"/>
    <col min="7" max="7" width="18.33203125" customWidth="1"/>
    <col min="8" max="26" width="7.6640625" customWidth="1"/>
  </cols>
  <sheetData>
    <row r="1" spans="1:7" ht="14" x14ac:dyDescent="0.3">
      <c r="A1" s="183" t="s">
        <v>0</v>
      </c>
      <c r="B1" s="375" t="str">
        <f>'PLANILHA ORÇAMENTÁRIA'!B1:F1</f>
        <v>CONSTRUÇÃO DE PÁTIO DA SECRETARIA DE OBRAS MUNICIPAL</v>
      </c>
      <c r="C1" s="376"/>
      <c r="D1" s="376"/>
      <c r="E1" s="376"/>
      <c r="F1" s="377"/>
      <c r="G1" s="85" t="s">
        <v>295</v>
      </c>
    </row>
    <row r="2" spans="1:7" ht="14.5" thickBot="1" x14ac:dyDescent="0.35">
      <c r="A2" s="184" t="s">
        <v>1</v>
      </c>
      <c r="B2" s="375" t="str">
        <f>'PLANILHA ORÇAMENTÁRIA'!B2:F2</f>
        <v>PREFEITURA MUNICIPAL DE ARAPUTANGA</v>
      </c>
      <c r="C2" s="376"/>
      <c r="D2" s="376"/>
      <c r="E2" s="376"/>
      <c r="F2" s="377"/>
      <c r="G2" s="86" t="s">
        <v>816</v>
      </c>
    </row>
    <row r="3" spans="1:7" ht="14" x14ac:dyDescent="0.3">
      <c r="A3" s="184" t="s">
        <v>2</v>
      </c>
      <c r="B3" s="375" t="str">
        <f>'PLANILHA ORÇAMENTÁRIA'!B3:F3</f>
        <v>AVENIDA PROJETADA, DISTRITO INDUSTRIAL</v>
      </c>
      <c r="C3" s="376"/>
      <c r="D3" s="376"/>
      <c r="E3" s="376"/>
      <c r="F3" s="377"/>
      <c r="G3" s="85" t="s">
        <v>260</v>
      </c>
    </row>
    <row r="4" spans="1:7" ht="15" customHeight="1" thickBot="1" x14ac:dyDescent="0.35">
      <c r="A4" s="185" t="s">
        <v>3</v>
      </c>
      <c r="B4" s="378">
        <f ca="1">TODAY()</f>
        <v>45972</v>
      </c>
      <c r="C4" s="379"/>
      <c r="D4" s="379"/>
      <c r="E4" s="379"/>
      <c r="F4" s="380"/>
      <c r="G4" s="223">
        <f>BDI!D21</f>
        <v>0.26240000000000002</v>
      </c>
    </row>
    <row r="5" spans="1:7" ht="14.5" thickBot="1" x14ac:dyDescent="0.35">
      <c r="A5" s="385" t="s">
        <v>303</v>
      </c>
      <c r="B5" s="386"/>
      <c r="C5" s="386"/>
      <c r="D5" s="386"/>
      <c r="E5" s="386"/>
      <c r="F5" s="386"/>
      <c r="G5" s="387"/>
    </row>
    <row r="6" spans="1:7" ht="14.5" thickBot="1" x14ac:dyDescent="0.35">
      <c r="A6" s="368"/>
      <c r="B6" s="369"/>
      <c r="C6" s="369"/>
      <c r="D6" s="369"/>
      <c r="E6" s="369"/>
      <c r="F6" s="369"/>
      <c r="G6" s="370"/>
    </row>
    <row r="7" spans="1:7" ht="14.5" thickBot="1" x14ac:dyDescent="0.35">
      <c r="A7" s="188" t="s">
        <v>74</v>
      </c>
      <c r="B7" s="303" t="s">
        <v>6</v>
      </c>
      <c r="C7" s="384"/>
      <c r="D7" s="384"/>
      <c r="E7" s="305"/>
      <c r="F7" s="6" t="s">
        <v>286</v>
      </c>
      <c r="G7" s="189" t="s">
        <v>287</v>
      </c>
    </row>
    <row r="8" spans="1:7" ht="14" x14ac:dyDescent="0.3">
      <c r="A8" s="190" t="s">
        <v>8</v>
      </c>
      <c r="B8" s="340" t="str">
        <f>'PLANILHA ORÇAMENTÁRIA'!D7</f>
        <v>ADMINISTRAÇÃO DE OBRA</v>
      </c>
      <c r="C8" s="341"/>
      <c r="D8" s="341"/>
      <c r="E8" s="342"/>
      <c r="F8" s="8">
        <f>'PLANILHA ORÇAMENTÁRIA'!I7</f>
        <v>25636.01</v>
      </c>
      <c r="G8" s="191">
        <f t="shared" ref="G8:G13" si="0">(F8/$F$21)</f>
        <v>9.5213110375186906E-3</v>
      </c>
    </row>
    <row r="9" spans="1:7" ht="14" x14ac:dyDescent="0.3">
      <c r="A9" s="192" t="s">
        <v>9</v>
      </c>
      <c r="B9" s="340" t="str">
        <f>'PLANILHA ORÇAMENTÁRIA'!D9</f>
        <v>SERVIÇOS PRELIMINARES</v>
      </c>
      <c r="C9" s="341"/>
      <c r="D9" s="341"/>
      <c r="E9" s="342"/>
      <c r="F9" s="8">
        <f>'PLANILHA ORÇAMENTÁRIA'!I9</f>
        <v>38895.33</v>
      </c>
      <c r="G9" s="191">
        <f t="shared" si="0"/>
        <v>1.4445872615782718E-2</v>
      </c>
    </row>
    <row r="10" spans="1:7" ht="14" x14ac:dyDescent="0.3">
      <c r="A10" s="192" t="s">
        <v>10</v>
      </c>
      <c r="B10" s="365" t="str">
        <f>'PLANILHA ORÇAMENTÁRIA'!D16</f>
        <v>ESTRUTURA DE CONCRETO ARMADO</v>
      </c>
      <c r="C10" s="313"/>
      <c r="D10" s="313"/>
      <c r="E10" s="314"/>
      <c r="F10" s="11">
        <f>'PLANILHA ORÇAMENTÁRIA'!I16</f>
        <v>337559.31</v>
      </c>
      <c r="G10" s="191">
        <f t="shared" si="0"/>
        <v>0.12537080396365088</v>
      </c>
    </row>
    <row r="11" spans="1:7" ht="14" x14ac:dyDescent="0.3">
      <c r="A11" s="104" t="s">
        <v>11</v>
      </c>
      <c r="B11" s="365" t="str">
        <f>'PLANILHA ORÇAMENTÁRIA'!D48</f>
        <v>ALVENARIAS E FECHAMENTOS</v>
      </c>
      <c r="C11" s="313"/>
      <c r="D11" s="313"/>
      <c r="E11" s="314"/>
      <c r="F11" s="11">
        <f>'PLANILHA ORÇAMENTÁRIA'!I48</f>
        <v>179214.19</v>
      </c>
      <c r="G11" s="191">
        <f t="shared" si="0"/>
        <v>6.6560827731264427E-2</v>
      </c>
    </row>
    <row r="12" spans="1:7" ht="14" x14ac:dyDescent="0.3">
      <c r="A12" s="192" t="s">
        <v>279</v>
      </c>
      <c r="B12" s="340" t="str">
        <f>'PLANILHA ORÇAMENTÁRIA'!D53</f>
        <v>CHAPISCO E REBOCO</v>
      </c>
      <c r="C12" s="341"/>
      <c r="D12" s="341"/>
      <c r="E12" s="342"/>
      <c r="F12" s="8">
        <f>'PLANILHA ORÇAMENTÁRIA'!I53</f>
        <v>109037.64</v>
      </c>
      <c r="G12" s="191">
        <f t="shared" si="0"/>
        <v>4.049699174079701E-2</v>
      </c>
    </row>
    <row r="13" spans="1:7" ht="14" x14ac:dyDescent="0.3">
      <c r="A13" s="104" t="s">
        <v>282</v>
      </c>
      <c r="B13" s="365" t="str">
        <f>'PLANILHA ORÇAMENTÁRIA'!D57</f>
        <v>COBERTURA E ESTRUTURA METÁLICA</v>
      </c>
      <c r="C13" s="313"/>
      <c r="D13" s="313"/>
      <c r="E13" s="314"/>
      <c r="F13" s="11">
        <f>'PLANILHA ORÇAMENTÁRIA'!I57</f>
        <v>971451.85999999987</v>
      </c>
      <c r="G13" s="191">
        <f t="shared" si="0"/>
        <v>0.36080089362720885</v>
      </c>
    </row>
    <row r="14" spans="1:7" ht="14" x14ac:dyDescent="0.3">
      <c r="A14" s="104" t="s">
        <v>284</v>
      </c>
      <c r="B14" s="365" t="str">
        <f>'PLANILHA ORÇAMENTÁRIA'!D71</f>
        <v>ESQUADRIAS</v>
      </c>
      <c r="C14" s="313"/>
      <c r="D14" s="313"/>
      <c r="E14" s="314"/>
      <c r="F14" s="11">
        <f>'PLANILHA ORÇAMENTÁRIA'!I71</f>
        <v>88157.200000000012</v>
      </c>
      <c r="G14" s="191">
        <f t="shared" ref="G14:G20" si="1">(F14/$F$21)</f>
        <v>3.2741917380931858E-2</v>
      </c>
    </row>
    <row r="15" spans="1:7" ht="14" x14ac:dyDescent="0.3">
      <c r="A15" s="104" t="s">
        <v>285</v>
      </c>
      <c r="B15" s="365" t="str">
        <f>'PLANILHA ORÇAMENTÁRIA'!D84</f>
        <v>PISOS</v>
      </c>
      <c r="C15" s="313"/>
      <c r="D15" s="313"/>
      <c r="E15" s="314"/>
      <c r="F15" s="11">
        <f>'PLANILHA ORÇAMENTÁRIA'!I84</f>
        <v>684467.44000000006</v>
      </c>
      <c r="G15" s="191">
        <f t="shared" si="1"/>
        <v>0.2542137950209164</v>
      </c>
    </row>
    <row r="16" spans="1:7" ht="14" x14ac:dyDescent="0.3">
      <c r="A16" s="104" t="s">
        <v>281</v>
      </c>
      <c r="B16" s="365" t="str">
        <f>'PLANILHA ORÇAMENTÁRIA'!D92</f>
        <v>INSTALAÇÕES HIDROSSANITÁRIAS</v>
      </c>
      <c r="C16" s="313"/>
      <c r="D16" s="313"/>
      <c r="E16" s="314"/>
      <c r="F16" s="11">
        <f>'PLANILHA ORÇAMENTÁRIA'!I92</f>
        <v>60305.53</v>
      </c>
      <c r="G16" s="191">
        <f t="shared" si="1"/>
        <v>2.2397701842541588E-2</v>
      </c>
    </row>
    <row r="17" spans="1:7" ht="14" x14ac:dyDescent="0.3">
      <c r="A17" s="104" t="s">
        <v>319</v>
      </c>
      <c r="B17" s="365" t="str">
        <f>'PLANILHA ORÇAMENTÁRIA'!D149</f>
        <v xml:space="preserve">INSTALAÇÕES ELÉTRICAS </v>
      </c>
      <c r="C17" s="313"/>
      <c r="D17" s="313"/>
      <c r="E17" s="314"/>
      <c r="F17" s="11">
        <f>'PLANILHA ORÇAMENTÁRIA'!I149</f>
        <v>111064.31999999996</v>
      </c>
      <c r="G17" s="191">
        <f t="shared" si="1"/>
        <v>4.1249708355181158E-2</v>
      </c>
    </row>
    <row r="18" spans="1:7" ht="14" x14ac:dyDescent="0.3">
      <c r="A18" s="104" t="s">
        <v>320</v>
      </c>
      <c r="B18" s="365" t="str">
        <f>'PLANILHA ORÇAMENTÁRIA'!D189</f>
        <v>PINTURAS E CERÂMICAS EM ALVENARIAS</v>
      </c>
      <c r="C18" s="313"/>
      <c r="D18" s="313"/>
      <c r="E18" s="314"/>
      <c r="F18" s="11">
        <f>'PLANILHA ORÇAMENTÁRIA'!I189</f>
        <v>62009.69</v>
      </c>
      <c r="G18" s="191">
        <f t="shared" si="1"/>
        <v>2.303063330955607E-2</v>
      </c>
    </row>
    <row r="19" spans="1:7" ht="14" x14ac:dyDescent="0.3">
      <c r="A19" s="104" t="s">
        <v>321</v>
      </c>
      <c r="B19" s="365" t="str">
        <f>'PLANILHA ORÇAMENTÁRIA'!D196</f>
        <v>CALÇADA EXTERNA</v>
      </c>
      <c r="C19" s="313"/>
      <c r="D19" s="313"/>
      <c r="E19" s="314"/>
      <c r="F19" s="11">
        <f>'PLANILHA ORÇAMENTÁRIA'!I196</f>
        <v>5105</v>
      </c>
      <c r="G19" s="191">
        <f t="shared" si="1"/>
        <v>1.8960163007633764E-3</v>
      </c>
    </row>
    <row r="20" spans="1:7" ht="14.5" thickBot="1" x14ac:dyDescent="0.35">
      <c r="A20" s="104" t="s">
        <v>322</v>
      </c>
      <c r="B20" s="365" t="str">
        <f>'PLANILHA ORÇAMENTÁRIA'!D198</f>
        <v>SERVIÇOS COMPLEMENTARES</v>
      </c>
      <c r="C20" s="313"/>
      <c r="D20" s="313"/>
      <c r="E20" s="314"/>
      <c r="F20" s="11">
        <f>'PLANILHA ORÇAMENTÁRIA'!I198</f>
        <v>19583.88</v>
      </c>
      <c r="G20" s="191">
        <f t="shared" si="1"/>
        <v>7.2735270738871439E-3</v>
      </c>
    </row>
    <row r="21" spans="1:7" ht="14.5" thickBot="1" x14ac:dyDescent="0.35">
      <c r="A21" s="193"/>
      <c r="B21" s="381" t="s">
        <v>12</v>
      </c>
      <c r="C21" s="382"/>
      <c r="D21" s="382"/>
      <c r="E21" s="383"/>
      <c r="F21" s="186">
        <f>SUM(F8:F20)</f>
        <v>2692487.3999999994</v>
      </c>
      <c r="G21" s="187">
        <f>SUM(G8:G20)</f>
        <v>1.0000000000000004</v>
      </c>
    </row>
    <row r="22" spans="1:7" ht="15" customHeight="1" x14ac:dyDescent="0.3">
      <c r="A22" s="347" t="s">
        <v>137</v>
      </c>
      <c r="B22" s="348"/>
      <c r="C22" s="348"/>
      <c r="D22" s="348"/>
      <c r="E22" s="349"/>
      <c r="F22" s="371"/>
      <c r="G22" s="372"/>
    </row>
    <row r="23" spans="1:7" ht="26.25" customHeight="1" x14ac:dyDescent="0.3">
      <c r="A23" s="350"/>
      <c r="B23" s="351"/>
      <c r="C23" s="351"/>
      <c r="D23" s="351"/>
      <c r="E23" s="352"/>
      <c r="F23" s="373"/>
      <c r="G23" s="374"/>
    </row>
    <row r="24" spans="1:7" ht="15.75" customHeight="1" x14ac:dyDescent="0.3">
      <c r="A24" s="353"/>
      <c r="B24" s="354"/>
      <c r="C24" s="354"/>
      <c r="D24" s="354"/>
      <c r="E24" s="355"/>
      <c r="F24" s="366" t="s">
        <v>142</v>
      </c>
      <c r="G24" s="367"/>
    </row>
    <row r="25" spans="1:7" ht="15.75" customHeight="1" x14ac:dyDescent="0.3">
      <c r="A25" s="356"/>
      <c r="B25" s="357"/>
      <c r="C25" s="357"/>
      <c r="D25" s="357"/>
      <c r="E25" s="358"/>
      <c r="F25" s="343"/>
      <c r="G25" s="344"/>
    </row>
    <row r="26" spans="1:7" ht="15.75" customHeight="1" x14ac:dyDescent="0.3">
      <c r="A26" s="359" t="s">
        <v>13</v>
      </c>
      <c r="B26" s="360"/>
      <c r="C26" s="360"/>
      <c r="D26" s="360"/>
      <c r="E26" s="361"/>
      <c r="F26" s="343"/>
      <c r="G26" s="344"/>
    </row>
    <row r="27" spans="1:7" ht="15.75" customHeight="1" thickBot="1" x14ac:dyDescent="0.35">
      <c r="A27" s="362" t="s">
        <v>700</v>
      </c>
      <c r="B27" s="363"/>
      <c r="C27" s="363"/>
      <c r="D27" s="363"/>
      <c r="E27" s="364"/>
      <c r="F27" s="345"/>
      <c r="G27" s="346"/>
    </row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mergeCells count="30">
    <mergeCell ref="A6:G6"/>
    <mergeCell ref="F22:G23"/>
    <mergeCell ref="F25:G25"/>
    <mergeCell ref="B1:F1"/>
    <mergeCell ref="B2:F2"/>
    <mergeCell ref="B3:F3"/>
    <mergeCell ref="B4:F4"/>
    <mergeCell ref="B21:E21"/>
    <mergeCell ref="B10:E10"/>
    <mergeCell ref="B11:E11"/>
    <mergeCell ref="B12:E12"/>
    <mergeCell ref="B13:E13"/>
    <mergeCell ref="B20:E20"/>
    <mergeCell ref="B7:E7"/>
    <mergeCell ref="A5:G5"/>
    <mergeCell ref="B9:E9"/>
    <mergeCell ref="B8:E8"/>
    <mergeCell ref="F26:G26"/>
    <mergeCell ref="F27:G27"/>
    <mergeCell ref="A22:E23"/>
    <mergeCell ref="A24:E25"/>
    <mergeCell ref="A26:E26"/>
    <mergeCell ref="A27:E27"/>
    <mergeCell ref="B14:E14"/>
    <mergeCell ref="B15:E15"/>
    <mergeCell ref="B16:E16"/>
    <mergeCell ref="B17:E17"/>
    <mergeCell ref="B18:E18"/>
    <mergeCell ref="B19:E19"/>
    <mergeCell ref="F24:G24"/>
  </mergeCells>
  <phoneticPr fontId="15" type="noConversion"/>
  <pageMargins left="1.5729166666666667" right="0.70866141732283472" top="1.6041666666666667" bottom="0.74803149606299213" header="0.31496062992125984" footer="0.31496062992125984"/>
  <pageSetup paperSize="9" scale="89" fitToHeight="0" orientation="landscape" r:id="rId1"/>
  <headerFooter>
    <oddHeader>&amp;L&amp;G</oddHeader>
    <oddFooter>&amp;CRua Rui Barbosa, 310 - Centro - Araputanga-MT – Cel: (65) 99613-9294 E-mail: carolina.o.almeida@hotmail.com / escalaprojeta@gmail.com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882"/>
  <sheetViews>
    <sheetView view="pageLayout" topLeftCell="A7" zoomScaleNormal="100" workbookViewId="0">
      <selection activeCell="F26" sqref="F26"/>
    </sheetView>
  </sheetViews>
  <sheetFormatPr defaultColWidth="12.6640625" defaultRowHeight="15" customHeight="1" x14ac:dyDescent="0.3"/>
  <cols>
    <col min="1" max="2" width="16.5" customWidth="1"/>
    <col min="3" max="3" width="13.33203125" customWidth="1"/>
    <col min="4" max="4" width="60.6640625" customWidth="1"/>
    <col min="5" max="5" width="7" customWidth="1"/>
    <col min="6" max="6" width="11.75" customWidth="1"/>
    <col min="7" max="7" width="14.25" customWidth="1"/>
    <col min="8" max="8" width="23.6640625" customWidth="1"/>
    <col min="9" max="9" width="23.83203125" customWidth="1"/>
    <col min="10" max="27" width="7.6640625" customWidth="1"/>
  </cols>
  <sheetData>
    <row r="1" spans="1:27" ht="14.5" thickBot="1" x14ac:dyDescent="0.35">
      <c r="A1" s="13" t="s">
        <v>0</v>
      </c>
      <c r="B1" s="429" t="s">
        <v>145</v>
      </c>
      <c r="C1" s="430"/>
      <c r="D1" s="430"/>
      <c r="E1" s="430"/>
      <c r="F1" s="430"/>
      <c r="G1" s="435" t="s">
        <v>15</v>
      </c>
      <c r="H1" s="436"/>
      <c r="I1" s="437"/>
    </row>
    <row r="2" spans="1:27" ht="14.5" thickBot="1" x14ac:dyDescent="0.35">
      <c r="A2" s="13" t="s">
        <v>1</v>
      </c>
      <c r="B2" s="429" t="s">
        <v>146</v>
      </c>
      <c r="C2" s="430"/>
      <c r="D2" s="430"/>
      <c r="E2" s="430"/>
      <c r="F2" s="430"/>
      <c r="G2" s="438"/>
      <c r="H2" s="439"/>
      <c r="I2" s="440"/>
    </row>
    <row r="3" spans="1:27" ht="14" x14ac:dyDescent="0.3">
      <c r="A3" s="13" t="s">
        <v>2</v>
      </c>
      <c r="B3" s="429" t="s">
        <v>234</v>
      </c>
      <c r="C3" s="430"/>
      <c r="D3" s="430"/>
      <c r="E3" s="430"/>
      <c r="F3" s="430"/>
      <c r="G3" s="433" t="s">
        <v>210</v>
      </c>
      <c r="H3" s="434"/>
      <c r="I3" s="85" t="s">
        <v>16</v>
      </c>
    </row>
    <row r="4" spans="1:27" ht="14.5" thickBot="1" x14ac:dyDescent="0.35">
      <c r="A4" s="14" t="s">
        <v>3</v>
      </c>
      <c r="B4" s="431" t="s">
        <v>147</v>
      </c>
      <c r="C4" s="432"/>
      <c r="D4" s="432"/>
      <c r="E4" s="432"/>
      <c r="F4" s="432"/>
      <c r="G4" s="94" t="s">
        <v>144</v>
      </c>
      <c r="H4" s="93" t="s">
        <v>143</v>
      </c>
      <c r="I4" s="86">
        <f>BDI!D21/100</f>
        <v>2.624E-3</v>
      </c>
    </row>
    <row r="5" spans="1:27" ht="14.5" thickBot="1" x14ac:dyDescent="0.35">
      <c r="A5" s="421" t="s">
        <v>17</v>
      </c>
      <c r="B5" s="422"/>
      <c r="C5" s="304"/>
      <c r="D5" s="304"/>
      <c r="E5" s="304"/>
      <c r="F5" s="304"/>
      <c r="G5" s="423"/>
      <c r="H5" s="423"/>
      <c r="I5" s="424"/>
    </row>
    <row r="6" spans="1:27" ht="28.5" thickBot="1" x14ac:dyDescent="0.4">
      <c r="A6" s="15" t="s">
        <v>107</v>
      </c>
      <c r="B6" s="15" t="s">
        <v>5</v>
      </c>
      <c r="C6" s="16" t="s">
        <v>18</v>
      </c>
      <c r="D6" s="16" t="s">
        <v>19</v>
      </c>
      <c r="E6" s="16" t="s">
        <v>20</v>
      </c>
      <c r="F6" s="16" t="s">
        <v>21</v>
      </c>
      <c r="G6" s="17" t="s">
        <v>22</v>
      </c>
      <c r="H6" s="17" t="s">
        <v>23</v>
      </c>
      <c r="I6" s="18" t="s">
        <v>24</v>
      </c>
      <c r="J6" s="19"/>
    </row>
    <row r="7" spans="1:27" ht="14" x14ac:dyDescent="0.3">
      <c r="A7" s="20"/>
      <c r="B7" s="20" t="s">
        <v>8</v>
      </c>
      <c r="C7" s="20"/>
      <c r="D7" s="21" t="s">
        <v>25</v>
      </c>
      <c r="E7" s="20"/>
      <c r="F7" s="22"/>
      <c r="G7" s="22"/>
      <c r="H7" s="23"/>
      <c r="I7" s="22" t="e">
        <f>SUM(I8:I12)</f>
        <v>#REF!</v>
      </c>
    </row>
    <row r="8" spans="1:27" ht="14" x14ac:dyDescent="0.3">
      <c r="A8" s="80" t="s">
        <v>108</v>
      </c>
      <c r="B8" s="24" t="s">
        <v>26</v>
      </c>
      <c r="C8" s="24" t="s">
        <v>27</v>
      </c>
      <c r="D8" s="25" t="s">
        <v>28</v>
      </c>
      <c r="E8" s="24" t="s">
        <v>29</v>
      </c>
      <c r="F8" s="26">
        <v>3</v>
      </c>
      <c r="G8" s="26" t="e">
        <f>#REF!</f>
        <v>#REF!</v>
      </c>
      <c r="H8" s="10" t="e">
        <f>G8+(G8*$I$4)</f>
        <v>#REF!</v>
      </c>
      <c r="I8" s="26" t="e">
        <f>H8*F8</f>
        <v>#REF!</v>
      </c>
    </row>
    <row r="9" spans="1:27" ht="42" x14ac:dyDescent="0.3">
      <c r="A9" s="80" t="s">
        <v>47</v>
      </c>
      <c r="B9" s="80" t="s">
        <v>112</v>
      </c>
      <c r="C9" s="24">
        <v>93584</v>
      </c>
      <c r="D9" s="79" t="s">
        <v>113</v>
      </c>
      <c r="E9" s="24" t="s">
        <v>29</v>
      </c>
      <c r="F9" s="26">
        <v>6</v>
      </c>
      <c r="G9" s="26">
        <v>650.95000000000005</v>
      </c>
      <c r="H9" s="10">
        <f>G9+(G9*$I$4)</f>
        <v>652.65809280000008</v>
      </c>
      <c r="I9" s="26">
        <f>H9*F9</f>
        <v>3915.9485568000005</v>
      </c>
    </row>
    <row r="10" spans="1:27" ht="14" x14ac:dyDescent="0.3">
      <c r="A10" s="80" t="s">
        <v>47</v>
      </c>
      <c r="B10" s="80" t="s">
        <v>117</v>
      </c>
      <c r="C10" s="24">
        <v>99063</v>
      </c>
      <c r="D10" s="79" t="s">
        <v>214</v>
      </c>
      <c r="E10" s="80" t="s">
        <v>41</v>
      </c>
      <c r="F10" s="26">
        <v>6</v>
      </c>
      <c r="G10" s="26">
        <v>3.55</v>
      </c>
      <c r="H10" s="10">
        <f>G10+(G10*$I$4)</f>
        <v>3.5593151999999999</v>
      </c>
      <c r="I10" s="26">
        <f>H10*F10</f>
        <v>21.355891199999999</v>
      </c>
    </row>
    <row r="11" spans="1:27" ht="15.75" customHeight="1" x14ac:dyDescent="0.35">
      <c r="A11" s="75"/>
      <c r="B11" s="75"/>
      <c r="C11" s="75"/>
      <c r="D11" s="76" t="s">
        <v>116</v>
      </c>
      <c r="E11" s="75"/>
      <c r="F11" s="77"/>
      <c r="G11" s="77"/>
      <c r="H11" s="78"/>
      <c r="I11" s="7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7" ht="14" x14ac:dyDescent="0.3">
      <c r="A12" s="80" t="s">
        <v>108</v>
      </c>
      <c r="B12" s="80" t="s">
        <v>213</v>
      </c>
      <c r="C12" s="80" t="s">
        <v>208</v>
      </c>
      <c r="D12" s="79" t="e">
        <f>#REF!</f>
        <v>#REF!</v>
      </c>
      <c r="E12" s="80" t="s">
        <v>118</v>
      </c>
      <c r="F12" s="26">
        <v>3</v>
      </c>
      <c r="G12" s="26" t="e">
        <f>#REF!</f>
        <v>#REF!</v>
      </c>
      <c r="H12" s="10" t="e">
        <f>G12+(G12*$I$4)</f>
        <v>#REF!</v>
      </c>
      <c r="I12" s="26" t="e">
        <f>H12*F12</f>
        <v>#REF!</v>
      </c>
    </row>
    <row r="13" spans="1:27" ht="14" x14ac:dyDescent="0.3">
      <c r="A13" s="27"/>
      <c r="B13" s="27" t="s">
        <v>9</v>
      </c>
      <c r="C13" s="28"/>
      <c r="D13" s="29" t="s">
        <v>89</v>
      </c>
      <c r="E13" s="28"/>
      <c r="F13" s="30"/>
      <c r="G13" s="30" t="s">
        <v>30</v>
      </c>
      <c r="H13" s="31"/>
      <c r="I13" s="30">
        <f>SUM(I14:I21)</f>
        <v>111628.34357606295</v>
      </c>
    </row>
    <row r="14" spans="1:27" ht="84" x14ac:dyDescent="0.3">
      <c r="A14" s="80" t="s">
        <v>47</v>
      </c>
      <c r="B14" s="24" t="s">
        <v>31</v>
      </c>
      <c r="C14" s="24">
        <v>90084</v>
      </c>
      <c r="D14" s="25" t="s">
        <v>90</v>
      </c>
      <c r="E14" s="24" t="s">
        <v>32</v>
      </c>
      <c r="F14" s="26">
        <f>('CÁLCULO DE VOL E ESC REDE PRIN.'!J19+'CAL VOL. REDE COL.'!J33+'CALC. VOL PV'!J19+'CALC. VOL BL'!J10)-F15</f>
        <v>2359.3950096665003</v>
      </c>
      <c r="G14" s="26">
        <v>7.61</v>
      </c>
      <c r="H14" s="10">
        <f t="shared" ref="H14:H21" si="0">G14+(G14*$I$4)</f>
        <v>7.6299686400000004</v>
      </c>
      <c r="I14" s="26">
        <f t="shared" ref="I14:I20" si="1">H14*F14</f>
        <v>18002.109933127897</v>
      </c>
    </row>
    <row r="15" spans="1:27" ht="84" x14ac:dyDescent="0.3">
      <c r="A15" s="80" t="s">
        <v>47</v>
      </c>
      <c r="B15" s="80" t="s">
        <v>33</v>
      </c>
      <c r="C15" s="24">
        <v>102278</v>
      </c>
      <c r="D15" s="79" t="s">
        <v>126</v>
      </c>
      <c r="E15" s="24" t="s">
        <v>32</v>
      </c>
      <c r="F15" s="26">
        <f>SUM('CÁLCULO DE VOL E ESC REDE PRIN.'!J15:J18)</f>
        <v>843.90649999999994</v>
      </c>
      <c r="G15" s="26">
        <v>6.93</v>
      </c>
      <c r="H15" s="10">
        <f t="shared" si="0"/>
        <v>6.9481843199999993</v>
      </c>
      <c r="I15" s="26">
        <f>H15*F15</f>
        <v>5863.6179108460792</v>
      </c>
    </row>
    <row r="16" spans="1:27" ht="42" x14ac:dyDescent="0.3">
      <c r="A16" s="80" t="s">
        <v>47</v>
      </c>
      <c r="B16" s="80" t="s">
        <v>34</v>
      </c>
      <c r="C16" s="24">
        <v>101572</v>
      </c>
      <c r="D16" s="25" t="s">
        <v>91</v>
      </c>
      <c r="E16" s="24" t="s">
        <v>29</v>
      </c>
      <c r="F16" s="26">
        <f>SUM('CÁLCULO DE VOL E ESC REDE PRIN.'!J9:J15)</f>
        <v>2293.5010000000002</v>
      </c>
      <c r="G16" s="26">
        <v>12.12</v>
      </c>
      <c r="H16" s="10">
        <f t="shared" si="0"/>
        <v>12.15180288</v>
      </c>
      <c r="I16" s="26">
        <f t="shared" si="1"/>
        <v>27870.172057082884</v>
      </c>
    </row>
    <row r="17" spans="1:27" ht="42" x14ac:dyDescent="0.3">
      <c r="A17" s="80" t="s">
        <v>47</v>
      </c>
      <c r="B17" s="80" t="s">
        <v>34</v>
      </c>
      <c r="C17" s="24">
        <v>101573</v>
      </c>
      <c r="D17" s="79" t="s">
        <v>127</v>
      </c>
      <c r="E17" s="24" t="s">
        <v>29</v>
      </c>
      <c r="F17" s="26">
        <f>SUM('CÁLCULO DE VOL E ESC REDE PRIN.'!J15:J18)</f>
        <v>843.90649999999994</v>
      </c>
      <c r="G17" s="26">
        <v>18.28</v>
      </c>
      <c r="H17" s="10">
        <f t="shared" si="0"/>
        <v>18.327966720000003</v>
      </c>
      <c r="I17" s="26">
        <f>H17*F17</f>
        <v>15467.09024679168</v>
      </c>
    </row>
    <row r="18" spans="1:27" ht="32.25" customHeight="1" x14ac:dyDescent="0.35">
      <c r="A18" s="80" t="s">
        <v>47</v>
      </c>
      <c r="B18" s="80" t="s">
        <v>35</v>
      </c>
      <c r="C18" s="24">
        <v>101622</v>
      </c>
      <c r="D18" s="25" t="s">
        <v>92</v>
      </c>
      <c r="E18" s="24" t="s">
        <v>32</v>
      </c>
      <c r="F18" s="26">
        <f>SUM('CÁLCULO DE VOL E ESC REDE PRIN.'!I9:I14)</f>
        <v>77</v>
      </c>
      <c r="G18" s="26">
        <v>148.11000000000001</v>
      </c>
      <c r="H18" s="10">
        <f t="shared" si="0"/>
        <v>148.49864064000002</v>
      </c>
      <c r="I18" s="26">
        <f t="shared" si="1"/>
        <v>11434.395329280002</v>
      </c>
      <c r="M18" s="32"/>
    </row>
    <row r="19" spans="1:27" ht="45.75" customHeight="1" x14ac:dyDescent="0.35">
      <c r="A19" s="80" t="s">
        <v>47</v>
      </c>
      <c r="B19" s="80" t="s">
        <v>35</v>
      </c>
      <c r="C19" s="24">
        <v>101625</v>
      </c>
      <c r="D19" s="79" t="s">
        <v>128</v>
      </c>
      <c r="E19" s="24" t="s">
        <v>32</v>
      </c>
      <c r="F19" s="26">
        <f>SUM('CÁLCULO DE VOL E ESC REDE PRIN.'!I15:I18)</f>
        <v>36.550000000000004</v>
      </c>
      <c r="G19" s="26">
        <v>120.92</v>
      </c>
      <c r="H19" s="10">
        <f t="shared" si="0"/>
        <v>121.23729408</v>
      </c>
      <c r="I19" s="26">
        <f>H19*F19</f>
        <v>4431.2230986240002</v>
      </c>
      <c r="M19" s="32"/>
    </row>
    <row r="20" spans="1:27" ht="74.25" customHeight="1" x14ac:dyDescent="0.3">
      <c r="A20" s="80" t="s">
        <v>47</v>
      </c>
      <c r="B20" s="80" t="s">
        <v>125</v>
      </c>
      <c r="C20" s="24">
        <v>93361</v>
      </c>
      <c r="D20" s="25" t="s">
        <v>93</v>
      </c>
      <c r="E20" s="24" t="s">
        <v>32</v>
      </c>
      <c r="F20" s="26">
        <f>('CÁLCULO DE VOL E ESC REDE PRIN.'!K19+'CAL VOL. REDE COL.'!K33+'CALC. VOL PV'!K19)-F21</f>
        <v>1756.9495554746418</v>
      </c>
      <c r="G20" s="26">
        <v>13.01</v>
      </c>
      <c r="H20" s="10">
        <f t="shared" si="0"/>
        <v>13.044138240000001</v>
      </c>
      <c r="I20" s="26">
        <f t="shared" si="1"/>
        <v>22917.892882317778</v>
      </c>
    </row>
    <row r="21" spans="1:27" ht="74.25" customHeight="1" x14ac:dyDescent="0.3">
      <c r="A21" s="80" t="s">
        <v>47</v>
      </c>
      <c r="B21" s="80" t="s">
        <v>125</v>
      </c>
      <c r="C21" s="24">
        <v>93362</v>
      </c>
      <c r="D21" s="79" t="s">
        <v>129</v>
      </c>
      <c r="E21" s="24" t="s">
        <v>32</v>
      </c>
      <c r="F21" s="26">
        <f>SUM('CÁLCULO DE VOL E ESC REDE PRIN.'!K15:K18)</f>
        <v>586.153819668089</v>
      </c>
      <c r="G21" s="26">
        <v>9.6</v>
      </c>
      <c r="H21" s="10">
        <f t="shared" si="0"/>
        <v>9.6251903999999993</v>
      </c>
      <c r="I21" s="26">
        <f>H21*F21</f>
        <v>5641.8421179926208</v>
      </c>
    </row>
    <row r="22" spans="1:27" ht="15.75" customHeight="1" x14ac:dyDescent="0.3">
      <c r="A22" s="27" t="s">
        <v>10</v>
      </c>
      <c r="B22" s="27" t="s">
        <v>10</v>
      </c>
      <c r="C22" s="28"/>
      <c r="D22" s="29" t="s">
        <v>94</v>
      </c>
      <c r="E22" s="28"/>
      <c r="F22" s="30"/>
      <c r="G22" s="30" t="s">
        <v>30</v>
      </c>
      <c r="H22" s="31"/>
      <c r="I22" s="30" t="e">
        <f>SUM(I25:I38)</f>
        <v>#REF!</v>
      </c>
    </row>
    <row r="23" spans="1:27" ht="15.75" customHeight="1" x14ac:dyDescent="0.35">
      <c r="A23" s="33"/>
      <c r="B23" s="33"/>
      <c r="C23" s="33"/>
      <c r="D23" s="34" t="s">
        <v>95</v>
      </c>
      <c r="E23" s="33"/>
      <c r="F23" s="35"/>
      <c r="G23" s="35"/>
      <c r="H23" s="36"/>
      <c r="I23" s="35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</row>
    <row r="24" spans="1:27" ht="15.75" customHeight="1" x14ac:dyDescent="0.35">
      <c r="A24" s="75"/>
      <c r="B24" s="75"/>
      <c r="C24" s="75"/>
      <c r="D24" s="76" t="s">
        <v>96</v>
      </c>
      <c r="E24" s="75"/>
      <c r="F24" s="77"/>
      <c r="G24" s="77"/>
      <c r="H24" s="78"/>
      <c r="I24" s="7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</row>
    <row r="25" spans="1:27" ht="69" customHeight="1" x14ac:dyDescent="0.3">
      <c r="A25" s="80" t="s">
        <v>47</v>
      </c>
      <c r="B25" s="24" t="s">
        <v>37</v>
      </c>
      <c r="C25" s="24">
        <v>92226</v>
      </c>
      <c r="D25" s="79" t="s">
        <v>130</v>
      </c>
      <c r="E25" s="24" t="s">
        <v>41</v>
      </c>
      <c r="F25" s="26">
        <f>SUM('CÁLCULO DE VOL E ESC REDE PRIN.'!C9:C14)</f>
        <v>638</v>
      </c>
      <c r="G25" s="26">
        <v>511.75</v>
      </c>
      <c r="H25" s="10">
        <f>G25+(G25*$I$4)</f>
        <v>513.09283200000004</v>
      </c>
      <c r="I25" s="26">
        <f>H25*F25</f>
        <v>327353.22681600001</v>
      </c>
      <c r="J25" s="159"/>
    </row>
    <row r="26" spans="1:27" ht="69" customHeight="1" x14ac:dyDescent="0.3">
      <c r="A26" s="80" t="s">
        <v>47</v>
      </c>
      <c r="B26" s="24" t="s">
        <v>37</v>
      </c>
      <c r="C26" s="24">
        <v>92831</v>
      </c>
      <c r="D26" s="79" t="s">
        <v>131</v>
      </c>
      <c r="E26" s="24" t="s">
        <v>41</v>
      </c>
      <c r="F26" s="26">
        <f>SUM('CÁLCULO DE VOL E ESC REDE PRIN.'!C15:C18)</f>
        <v>269</v>
      </c>
      <c r="G26" s="26">
        <v>1048.5899999999999</v>
      </c>
      <c r="H26" s="10">
        <f>G26+(G26*$I$4)</f>
        <v>1051.3415001599999</v>
      </c>
      <c r="I26" s="26">
        <f>H26*F26</f>
        <v>282810.86354303994</v>
      </c>
    </row>
    <row r="27" spans="1:27" ht="15.75" customHeight="1" x14ac:dyDescent="0.35">
      <c r="A27" s="75"/>
      <c r="B27" s="75"/>
      <c r="C27" s="75"/>
      <c r="D27" s="76" t="s">
        <v>97</v>
      </c>
      <c r="E27" s="75"/>
      <c r="F27" s="77"/>
      <c r="G27" s="77"/>
      <c r="H27" s="78"/>
      <c r="I27" s="7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</row>
    <row r="28" spans="1:27" ht="69" customHeight="1" x14ac:dyDescent="0.3">
      <c r="A28" s="80" t="s">
        <v>47</v>
      </c>
      <c r="B28" s="24" t="s">
        <v>37</v>
      </c>
      <c r="C28" s="24">
        <v>92219</v>
      </c>
      <c r="D28" s="25" t="s">
        <v>98</v>
      </c>
      <c r="E28" s="24" t="s">
        <v>41</v>
      </c>
      <c r="F28" s="26">
        <f>SUM('CAL VOL. REDE COL.'!C9:C32)</f>
        <v>333.82</v>
      </c>
      <c r="G28" s="26">
        <v>150.04</v>
      </c>
      <c r="H28" s="10">
        <f>G28+(G28*$I$4)</f>
        <v>150.43370496</v>
      </c>
      <c r="I28" s="26">
        <f>H28*F28</f>
        <v>50217.7793897472</v>
      </c>
    </row>
    <row r="29" spans="1:27" ht="15.75" customHeight="1" x14ac:dyDescent="0.35">
      <c r="A29" s="33"/>
      <c r="B29" s="33"/>
      <c r="C29" s="33"/>
      <c r="D29" s="34" t="s">
        <v>99</v>
      </c>
      <c r="E29" s="33"/>
      <c r="F29" s="35"/>
      <c r="G29" s="35"/>
      <c r="H29" s="36"/>
      <c r="I29" s="35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</row>
    <row r="30" spans="1:27" ht="15.75" customHeight="1" x14ac:dyDescent="0.35">
      <c r="A30" s="75"/>
      <c r="B30" s="75"/>
      <c r="C30" s="75"/>
      <c r="D30" s="76" t="s">
        <v>102</v>
      </c>
      <c r="E30" s="75"/>
      <c r="F30" s="77"/>
      <c r="G30" s="77"/>
      <c r="H30" s="78"/>
      <c r="I30" s="7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</row>
    <row r="31" spans="1:27" ht="27.75" customHeight="1" x14ac:dyDescent="0.3">
      <c r="A31" s="80" t="s">
        <v>109</v>
      </c>
      <c r="B31" s="24" t="s">
        <v>38</v>
      </c>
      <c r="C31" s="24">
        <v>2003618</v>
      </c>
      <c r="D31" s="25" t="s">
        <v>111</v>
      </c>
      <c r="E31" s="80" t="s">
        <v>36</v>
      </c>
      <c r="F31" s="26">
        <v>24</v>
      </c>
      <c r="G31" s="26">
        <v>737.21</v>
      </c>
      <c r="H31" s="10">
        <f>G31+(G31*$I$4)</f>
        <v>739.14443904000007</v>
      </c>
      <c r="I31" s="26">
        <f>H31*F31</f>
        <v>17739.466536960001</v>
      </c>
    </row>
    <row r="32" spans="1:27" ht="15.75" customHeight="1" x14ac:dyDescent="0.35">
      <c r="A32" s="75"/>
      <c r="B32" s="75"/>
      <c r="C32" s="75"/>
      <c r="D32" s="76" t="s">
        <v>100</v>
      </c>
      <c r="E32" s="75"/>
      <c r="F32" s="77"/>
      <c r="G32" s="77"/>
      <c r="H32" s="78"/>
      <c r="I32" s="7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</row>
    <row r="33" spans="1:27" ht="27" customHeight="1" x14ac:dyDescent="0.3">
      <c r="A33" s="80" t="s">
        <v>109</v>
      </c>
      <c r="B33" s="24" t="s">
        <v>39</v>
      </c>
      <c r="C33" s="24">
        <v>2003684</v>
      </c>
      <c r="D33" s="25" t="s">
        <v>132</v>
      </c>
      <c r="E33" s="80" t="s">
        <v>36</v>
      </c>
      <c r="F33" s="26">
        <v>5</v>
      </c>
      <c r="G33" s="26">
        <v>2250.5100000000002</v>
      </c>
      <c r="H33" s="10">
        <f>G33+(G33*$I$4)</f>
        <v>2256.4153382400004</v>
      </c>
      <c r="I33" s="26">
        <f>H33*F33</f>
        <v>11282.076691200002</v>
      </c>
    </row>
    <row r="34" spans="1:27" ht="25.5" customHeight="1" x14ac:dyDescent="0.3">
      <c r="A34" s="80" t="s">
        <v>109</v>
      </c>
      <c r="B34" s="24" t="s">
        <v>40</v>
      </c>
      <c r="C34" s="24">
        <v>2003688</v>
      </c>
      <c r="D34" s="79" t="s">
        <v>133</v>
      </c>
      <c r="E34" s="80" t="s">
        <v>36</v>
      </c>
      <c r="F34" s="26">
        <v>5</v>
      </c>
      <c r="G34" s="26">
        <v>3311.33</v>
      </c>
      <c r="H34" s="10">
        <f>G34+(G34*$I$4)</f>
        <v>3320.0189299200001</v>
      </c>
      <c r="I34" s="26">
        <f>H34*F34</f>
        <v>16600.0946496</v>
      </c>
    </row>
    <row r="35" spans="1:27" ht="60" customHeight="1" x14ac:dyDescent="0.3">
      <c r="A35" s="80" t="s">
        <v>47</v>
      </c>
      <c r="B35" s="24" t="s">
        <v>39</v>
      </c>
      <c r="C35" s="24">
        <v>98051</v>
      </c>
      <c r="D35" s="79" t="s">
        <v>110</v>
      </c>
      <c r="E35" s="80" t="s">
        <v>41</v>
      </c>
      <c r="F35" s="26">
        <f>SUM('CALC. VOL PV'!I9:I18)</f>
        <v>9.08</v>
      </c>
      <c r="G35" s="26">
        <v>749.73</v>
      </c>
      <c r="H35" s="10">
        <f>G35+(G35*$I$4)</f>
        <v>751.69729152000002</v>
      </c>
      <c r="I35" s="26">
        <f>H35*F35</f>
        <v>6825.4114070016003</v>
      </c>
    </row>
    <row r="36" spans="1:27" ht="45" customHeight="1" x14ac:dyDescent="0.3">
      <c r="A36" s="24" t="s">
        <v>40</v>
      </c>
      <c r="B36" s="24" t="s">
        <v>40</v>
      </c>
      <c r="C36" s="80" t="s">
        <v>101</v>
      </c>
      <c r="D36" s="79" t="s">
        <v>106</v>
      </c>
      <c r="E36" s="80" t="s">
        <v>36</v>
      </c>
      <c r="F36" s="26">
        <v>10</v>
      </c>
      <c r="G36" s="26" t="e">
        <f>#REF!</f>
        <v>#REF!</v>
      </c>
      <c r="H36" s="10" t="e">
        <f>G36+(G36*$I$4)</f>
        <v>#REF!</v>
      </c>
      <c r="I36" s="26" t="e">
        <f>H36*F36</f>
        <v>#REF!</v>
      </c>
    </row>
    <row r="37" spans="1:27" ht="15.75" customHeight="1" x14ac:dyDescent="0.35">
      <c r="A37" s="75"/>
      <c r="B37" s="75"/>
      <c r="C37" s="75"/>
      <c r="D37" s="76" t="s">
        <v>103</v>
      </c>
      <c r="E37" s="75"/>
      <c r="F37" s="77"/>
      <c r="G37" s="77"/>
      <c r="H37" s="78"/>
      <c r="I37" s="7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</row>
    <row r="38" spans="1:27" ht="24.75" customHeight="1" x14ac:dyDescent="0.3">
      <c r="A38" s="80" t="s">
        <v>109</v>
      </c>
      <c r="B38" s="24"/>
      <c r="C38" s="80">
        <v>2003461</v>
      </c>
      <c r="D38" s="25" t="s">
        <v>134</v>
      </c>
      <c r="E38" s="80" t="s">
        <v>36</v>
      </c>
      <c r="F38" s="26">
        <v>1</v>
      </c>
      <c r="G38" s="26">
        <v>4073.49</v>
      </c>
      <c r="H38" s="10">
        <f>G38+(G38*$I$4)</f>
        <v>4084.1788377599996</v>
      </c>
      <c r="I38" s="26">
        <f>H38*F38</f>
        <v>4084.1788377599996</v>
      </c>
    </row>
    <row r="39" spans="1:27" ht="15.75" customHeight="1" x14ac:dyDescent="0.35">
      <c r="A39" s="27" t="s">
        <v>11</v>
      </c>
      <c r="B39" s="27" t="s">
        <v>11</v>
      </c>
      <c r="C39" s="28"/>
      <c r="D39" s="29" t="s">
        <v>104</v>
      </c>
      <c r="E39" s="28"/>
      <c r="F39" s="30"/>
      <c r="G39" s="30" t="s">
        <v>30</v>
      </c>
      <c r="H39" s="31"/>
      <c r="I39" s="30">
        <f>SUM(I40:I43)</f>
        <v>8585.1133804800011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5.75" customHeight="1" x14ac:dyDescent="0.35">
      <c r="A40" s="75"/>
      <c r="B40" s="75"/>
      <c r="C40" s="75"/>
      <c r="D40" s="76" t="s">
        <v>114</v>
      </c>
      <c r="E40" s="75"/>
      <c r="F40" s="77"/>
      <c r="G40" s="77"/>
      <c r="H40" s="78"/>
      <c r="I40" s="7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</row>
    <row r="41" spans="1:27" ht="27.75" customHeight="1" x14ac:dyDescent="0.3">
      <c r="A41" s="80" t="s">
        <v>47</v>
      </c>
      <c r="B41" s="24" t="s">
        <v>43</v>
      </c>
      <c r="C41" s="24">
        <v>95879</v>
      </c>
      <c r="D41" s="79" t="s">
        <v>135</v>
      </c>
      <c r="E41" s="80" t="s">
        <v>219</v>
      </c>
      <c r="F41" s="26">
        <f>'CALC. TRANSPORTES'!D21</f>
        <v>0</v>
      </c>
      <c r="G41" s="26">
        <v>1.0900000000000001</v>
      </c>
      <c r="H41" s="10">
        <f>G41+(G41*$I$4)</f>
        <v>1.0928601600000001</v>
      </c>
      <c r="I41" s="26">
        <f>H41*F41</f>
        <v>0</v>
      </c>
    </row>
    <row r="42" spans="1:27" ht="15.75" customHeight="1" x14ac:dyDescent="0.35">
      <c r="A42" s="75"/>
      <c r="B42" s="75"/>
      <c r="C42" s="75"/>
      <c r="D42" s="76" t="s">
        <v>115</v>
      </c>
      <c r="E42" s="75"/>
      <c r="F42" s="77"/>
      <c r="G42" s="77"/>
      <c r="H42" s="78"/>
      <c r="I42" s="7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</row>
    <row r="43" spans="1:27" ht="57.75" customHeight="1" x14ac:dyDescent="0.35">
      <c r="A43" s="80" t="s">
        <v>47</v>
      </c>
      <c r="B43" s="24" t="s">
        <v>44</v>
      </c>
      <c r="C43" s="24">
        <v>100952</v>
      </c>
      <c r="D43" s="79" t="s">
        <v>136</v>
      </c>
      <c r="E43" s="80" t="s">
        <v>219</v>
      </c>
      <c r="F43" s="26">
        <f>'CALC. TRANSPORTES'!F11+'CALC. TRANSPORTES'!F14+'CALC. TRANSPORTES'!F15</f>
        <v>4391.1000000000004</v>
      </c>
      <c r="G43" s="26">
        <v>1.95</v>
      </c>
      <c r="H43" s="10">
        <f>G43+(G43*$I$4)</f>
        <v>1.9551167999999999</v>
      </c>
      <c r="I43" s="26">
        <f>H43*F43</f>
        <v>8585.1133804800011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1:27" ht="15.75" customHeight="1" thickBot="1" x14ac:dyDescent="0.35">
      <c r="A44" s="425"/>
      <c r="B44" s="426"/>
      <c r="C44" s="427"/>
      <c r="D44" s="427"/>
      <c r="E44" s="427"/>
      <c r="F44" s="427"/>
      <c r="G44" s="428"/>
      <c r="H44" s="83" t="s">
        <v>12</v>
      </c>
      <c r="I44" s="84" t="e">
        <f>SUM(I7:I43)/2</f>
        <v>#REF!</v>
      </c>
    </row>
    <row r="45" spans="1:27" ht="15.75" customHeight="1" x14ac:dyDescent="0.3">
      <c r="A45" s="388" t="s">
        <v>137</v>
      </c>
      <c r="B45" s="413"/>
      <c r="C45" s="389"/>
      <c r="D45" s="404" t="s">
        <v>138</v>
      </c>
      <c r="E45" s="388" t="s">
        <v>141</v>
      </c>
      <c r="F45" s="389"/>
      <c r="G45" s="392" t="s">
        <v>235</v>
      </c>
      <c r="H45" s="393"/>
      <c r="I45" s="394"/>
    </row>
    <row r="46" spans="1:27" ht="15.75" customHeight="1" thickBot="1" x14ac:dyDescent="0.35">
      <c r="A46" s="390"/>
      <c r="B46" s="414"/>
      <c r="C46" s="391"/>
      <c r="D46" s="405"/>
      <c r="E46" s="390"/>
      <c r="F46" s="391"/>
      <c r="G46" s="395"/>
      <c r="H46" s="395"/>
      <c r="I46" s="396"/>
    </row>
    <row r="47" spans="1:27" ht="15.75" customHeight="1" x14ac:dyDescent="0.3">
      <c r="A47" s="402"/>
      <c r="B47" s="403"/>
      <c r="C47" s="344"/>
      <c r="D47" s="92"/>
      <c r="E47" s="397" t="s">
        <v>142</v>
      </c>
      <c r="F47" s="398"/>
      <c r="G47" s="398"/>
      <c r="H47" s="398"/>
      <c r="I47" s="399"/>
    </row>
    <row r="48" spans="1:27" ht="15.75" customHeight="1" x14ac:dyDescent="0.3">
      <c r="A48" s="415"/>
      <c r="B48" s="416"/>
      <c r="C48" s="417"/>
      <c r="D48" s="89"/>
      <c r="E48" s="406" t="s">
        <v>209</v>
      </c>
      <c r="F48" s="376"/>
      <c r="G48" s="376"/>
      <c r="H48" s="376"/>
      <c r="I48" s="377"/>
    </row>
    <row r="49" spans="1:9" ht="15.75" customHeight="1" x14ac:dyDescent="0.3">
      <c r="A49" s="418" t="s">
        <v>13</v>
      </c>
      <c r="B49" s="419"/>
      <c r="C49" s="420"/>
      <c r="D49" s="91" t="s">
        <v>140</v>
      </c>
      <c r="E49" s="407"/>
      <c r="F49" s="408"/>
      <c r="G49" s="408"/>
      <c r="H49" s="408"/>
      <c r="I49" s="409"/>
    </row>
    <row r="50" spans="1:9" ht="15.75" customHeight="1" thickBot="1" x14ac:dyDescent="0.35">
      <c r="A50" s="400" t="s">
        <v>14</v>
      </c>
      <c r="B50" s="401"/>
      <c r="C50" s="346"/>
      <c r="D50" s="90" t="s">
        <v>139</v>
      </c>
      <c r="E50" s="410"/>
      <c r="F50" s="411"/>
      <c r="G50" s="411"/>
      <c r="H50" s="411"/>
      <c r="I50" s="412"/>
    </row>
    <row r="51" spans="1:9" ht="15.75" customHeight="1" x14ac:dyDescent="0.35">
      <c r="A51" s="39"/>
      <c r="B51" s="39"/>
      <c r="C51" s="39"/>
      <c r="D51" s="39"/>
      <c r="E51" s="39"/>
      <c r="F51" s="39"/>
      <c r="G51" s="39"/>
      <c r="H51" s="39"/>
      <c r="I51" s="39"/>
    </row>
    <row r="52" spans="1:9" ht="15.75" customHeight="1" x14ac:dyDescent="0.35">
      <c r="A52" s="39"/>
      <c r="B52" s="39"/>
      <c r="C52" s="39"/>
      <c r="D52" s="39"/>
      <c r="E52" s="39"/>
      <c r="F52" s="39"/>
      <c r="G52" s="39"/>
      <c r="H52" s="39"/>
      <c r="I52" s="39"/>
    </row>
    <row r="53" spans="1:9" ht="47.25" customHeight="1" x14ac:dyDescent="0.3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5.75" customHeight="1" x14ac:dyDescent="0.3">
      <c r="A54" s="40"/>
      <c r="B54" s="40"/>
      <c r="C54" s="40"/>
      <c r="D54" s="40"/>
      <c r="E54" s="40"/>
      <c r="F54" s="40"/>
      <c r="G54" s="40"/>
      <c r="H54" s="40"/>
      <c r="I54" s="40"/>
    </row>
    <row r="55" spans="1:9" ht="15.75" customHeight="1" x14ac:dyDescent="0.3">
      <c r="A55" s="40"/>
      <c r="B55" s="40"/>
      <c r="C55" s="40"/>
      <c r="D55" s="40"/>
      <c r="E55" s="40"/>
      <c r="F55" s="40"/>
      <c r="G55" s="40"/>
      <c r="H55" s="40"/>
      <c r="I55" s="40"/>
    </row>
    <row r="56" spans="1:9" ht="15.75" customHeight="1" x14ac:dyDescent="0.3">
      <c r="A56" s="40"/>
      <c r="B56" s="40"/>
      <c r="C56" s="40"/>
      <c r="D56" s="40"/>
      <c r="E56" s="40"/>
      <c r="F56" s="40"/>
      <c r="G56" s="40"/>
      <c r="H56" s="40"/>
      <c r="I56" s="40"/>
    </row>
    <row r="57" spans="1:9" ht="15.75" customHeight="1" x14ac:dyDescent="0.3">
      <c r="A57" s="40"/>
      <c r="B57" s="40"/>
      <c r="C57" s="40"/>
      <c r="D57" s="40"/>
      <c r="E57" s="40"/>
      <c r="F57" s="40"/>
      <c r="G57" s="40"/>
      <c r="H57" s="40"/>
      <c r="I57" s="40"/>
    </row>
    <row r="58" spans="1:9" ht="15.75" customHeight="1" x14ac:dyDescent="0.3">
      <c r="A58" s="40"/>
      <c r="B58" s="40"/>
      <c r="C58" s="40"/>
      <c r="D58" s="40"/>
      <c r="E58" s="40"/>
      <c r="F58" s="40"/>
      <c r="G58" s="40"/>
      <c r="H58" s="40"/>
      <c r="I58" s="40"/>
    </row>
    <row r="59" spans="1:9" ht="15.75" customHeight="1" x14ac:dyDescent="0.3">
      <c r="A59" s="40"/>
      <c r="B59" s="40"/>
      <c r="C59" s="40"/>
      <c r="D59" s="40"/>
      <c r="E59" s="40"/>
      <c r="F59" s="40"/>
      <c r="G59" s="40"/>
      <c r="H59" s="40"/>
      <c r="I59" s="40"/>
    </row>
    <row r="60" spans="1:9" ht="15.75" customHeight="1" x14ac:dyDescent="0.3">
      <c r="A60" s="40"/>
      <c r="B60" s="40"/>
      <c r="C60" s="40"/>
      <c r="D60" s="40"/>
      <c r="E60" s="40"/>
      <c r="F60" s="40"/>
      <c r="G60" s="40"/>
      <c r="H60" s="40"/>
      <c r="I60" s="40"/>
    </row>
    <row r="61" spans="1:9" ht="15.75" customHeight="1" x14ac:dyDescent="0.3">
      <c r="A61" s="40"/>
      <c r="B61" s="40"/>
      <c r="C61" s="40"/>
      <c r="D61" s="40"/>
      <c r="E61" s="40"/>
      <c r="F61" s="40"/>
      <c r="G61" s="40"/>
      <c r="H61" s="40"/>
      <c r="I61" s="40"/>
    </row>
    <row r="62" spans="1:9" ht="15.75" customHeight="1" x14ac:dyDescent="0.3">
      <c r="A62" s="40"/>
      <c r="B62" s="40"/>
      <c r="C62" s="40"/>
      <c r="D62" s="40"/>
      <c r="E62" s="40"/>
      <c r="F62" s="40"/>
      <c r="G62" s="40"/>
      <c r="H62" s="40"/>
      <c r="I62" s="40"/>
    </row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</sheetData>
  <mergeCells count="21">
    <mergeCell ref="A5:I5"/>
    <mergeCell ref="A44:G44"/>
    <mergeCell ref="B1:F1"/>
    <mergeCell ref="B2:F2"/>
    <mergeCell ref="B3:F3"/>
    <mergeCell ref="B4:F4"/>
    <mergeCell ref="G3:H3"/>
    <mergeCell ref="G1:I1"/>
    <mergeCell ref="G2:I2"/>
    <mergeCell ref="E45:F46"/>
    <mergeCell ref="G45:I46"/>
    <mergeCell ref="E47:I47"/>
    <mergeCell ref="A50:C50"/>
    <mergeCell ref="A47:C47"/>
    <mergeCell ref="D45:D46"/>
    <mergeCell ref="E48:I48"/>
    <mergeCell ref="E49:I49"/>
    <mergeCell ref="E50:I50"/>
    <mergeCell ref="A45:C46"/>
    <mergeCell ref="A48:C48"/>
    <mergeCell ref="A49:C49"/>
  </mergeCells>
  <pageMargins left="0.23622047244094491" right="0.23622047244094491" top="0.94291666666666663" bottom="0.8744791666666667" header="0" footer="0"/>
  <pageSetup paperSize="9" scale="40" fitToHeight="0" orientation="landscape" r:id="rId1"/>
  <headerFooter>
    <oddFooter>&amp;CRua Rui Barbosa, 310 - Centro - Araputanga-MT – Cel: (65) 99613-9294 E-mail: carolina.o.almeida@hotmail.com / escalaprojeta@gmail.com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27"/>
  <sheetViews>
    <sheetView view="pageBreakPreview" topLeftCell="A197" zoomScale="80" zoomScaleNormal="80" zoomScaleSheetLayoutView="80" workbookViewId="0">
      <selection activeCell="B59" sqref="B59:F60"/>
    </sheetView>
  </sheetViews>
  <sheetFormatPr defaultColWidth="12.6640625" defaultRowHeight="14" x14ac:dyDescent="0.3"/>
  <cols>
    <col min="1" max="2" width="16.5" customWidth="1"/>
    <col min="3" max="3" width="13.33203125" customWidth="1"/>
    <col min="4" max="4" width="60.6640625" customWidth="1"/>
    <col min="5" max="5" width="7" customWidth="1"/>
    <col min="6" max="6" width="11.75" customWidth="1"/>
    <col min="7" max="7" width="14.25" customWidth="1"/>
    <col min="8" max="8" width="23.6640625" customWidth="1"/>
    <col min="9" max="9" width="23.83203125" customWidth="1"/>
    <col min="10" max="10" width="13.33203125" customWidth="1"/>
    <col min="11" max="27" width="7.6640625" customWidth="1"/>
  </cols>
  <sheetData>
    <row r="1" spans="1:27" x14ac:dyDescent="0.3">
      <c r="A1" s="177" t="s">
        <v>0</v>
      </c>
      <c r="B1" s="441" t="s">
        <v>903</v>
      </c>
      <c r="C1" s="442"/>
      <c r="D1" s="442"/>
      <c r="E1" s="442"/>
      <c r="F1" s="443"/>
      <c r="G1" s="447" t="s">
        <v>15</v>
      </c>
      <c r="H1" s="448"/>
      <c r="I1" s="85"/>
    </row>
    <row r="2" spans="1:27" ht="14.5" thickBot="1" x14ac:dyDescent="0.35">
      <c r="A2" s="177" t="s">
        <v>1</v>
      </c>
      <c r="B2" s="444" t="s">
        <v>904</v>
      </c>
      <c r="C2" s="442"/>
      <c r="D2" s="442"/>
      <c r="E2" s="442"/>
      <c r="F2" s="443"/>
      <c r="G2" s="449"/>
      <c r="H2" s="450"/>
      <c r="I2" s="86"/>
    </row>
    <row r="3" spans="1:27" x14ac:dyDescent="0.3">
      <c r="A3" s="177" t="s">
        <v>2</v>
      </c>
      <c r="B3" s="444" t="s">
        <v>905</v>
      </c>
      <c r="C3" s="442"/>
      <c r="D3" s="442"/>
      <c r="E3" s="442"/>
      <c r="F3" s="443"/>
      <c r="G3" s="433" t="s">
        <v>210</v>
      </c>
      <c r="H3" s="434"/>
      <c r="I3" s="85" t="s">
        <v>260</v>
      </c>
    </row>
    <row r="4" spans="1:27" ht="14.5" thickBot="1" x14ac:dyDescent="0.35">
      <c r="A4" s="206" t="s">
        <v>3</v>
      </c>
      <c r="B4" s="451">
        <f ca="1">TODAY()</f>
        <v>45972</v>
      </c>
      <c r="C4" s="452"/>
      <c r="D4" s="452"/>
      <c r="E4" s="452"/>
      <c r="F4" s="453"/>
      <c r="G4" s="445" t="s">
        <v>816</v>
      </c>
      <c r="H4" s="446"/>
      <c r="I4" s="207">
        <f>BDI!D21</f>
        <v>0.26240000000000002</v>
      </c>
    </row>
    <row r="5" spans="1:27" ht="14.5" thickBot="1" x14ac:dyDescent="0.35">
      <c r="A5" s="454" t="s">
        <v>17</v>
      </c>
      <c r="B5" s="455"/>
      <c r="C5" s="456"/>
      <c r="D5" s="456"/>
      <c r="E5" s="456"/>
      <c r="F5" s="456"/>
      <c r="G5" s="456"/>
      <c r="H5" s="456"/>
      <c r="I5" s="457"/>
    </row>
    <row r="6" spans="1:27" ht="28.5" thickBot="1" x14ac:dyDescent="0.4">
      <c r="A6" s="208" t="s">
        <v>107</v>
      </c>
      <c r="B6" s="208" t="s">
        <v>5</v>
      </c>
      <c r="C6" s="209" t="s">
        <v>18</v>
      </c>
      <c r="D6" s="209" t="s">
        <v>19</v>
      </c>
      <c r="E6" s="209" t="s">
        <v>20</v>
      </c>
      <c r="F6" s="209" t="s">
        <v>21</v>
      </c>
      <c r="G6" s="210" t="s">
        <v>22</v>
      </c>
      <c r="H6" s="210" t="s">
        <v>23</v>
      </c>
      <c r="I6" s="211" t="s">
        <v>24</v>
      </c>
      <c r="J6" s="19"/>
    </row>
    <row r="7" spans="1:27" x14ac:dyDescent="0.3">
      <c r="A7" s="20"/>
      <c r="B7" s="20" t="s">
        <v>8</v>
      </c>
      <c r="C7" s="20"/>
      <c r="D7" s="21" t="s">
        <v>302</v>
      </c>
      <c r="E7" s="20"/>
      <c r="F7" s="22"/>
      <c r="G7" s="22"/>
      <c r="H7" s="23"/>
      <c r="I7" s="22">
        <f>I8</f>
        <v>25636.01</v>
      </c>
    </row>
    <row r="8" spans="1:27" ht="17.25" customHeight="1" x14ac:dyDescent="0.3">
      <c r="A8" s="80" t="s">
        <v>108</v>
      </c>
      <c r="B8" s="80" t="s">
        <v>26</v>
      </c>
      <c r="C8" s="80" t="s">
        <v>27</v>
      </c>
      <c r="D8" s="232" t="s">
        <v>277</v>
      </c>
      <c r="E8" s="80" t="s">
        <v>36</v>
      </c>
      <c r="F8" s="26">
        <v>1</v>
      </c>
      <c r="G8" s="26">
        <f>'COMPOSIÇÕES E COTAÇÕES'!G14</f>
        <v>20307.36</v>
      </c>
      <c r="H8" s="179">
        <f>TRUNC(G8+(G8*$I$4),2)</f>
        <v>25636.01</v>
      </c>
      <c r="I8" s="26">
        <f>TRUNC(H8*F8,2)</f>
        <v>25636.01</v>
      </c>
    </row>
    <row r="9" spans="1:27" x14ac:dyDescent="0.3">
      <c r="A9" s="20"/>
      <c r="B9" s="20" t="s">
        <v>9</v>
      </c>
      <c r="C9" s="20"/>
      <c r="D9" s="21" t="s">
        <v>25</v>
      </c>
      <c r="E9" s="20"/>
      <c r="F9" s="22"/>
      <c r="G9" s="22"/>
      <c r="H9" s="23"/>
      <c r="I9" s="22">
        <f>SUM(I11:I15)</f>
        <v>38895.33</v>
      </c>
    </row>
    <row r="10" spans="1:27" ht="14.5" x14ac:dyDescent="0.35">
      <c r="A10" s="288"/>
      <c r="B10" s="288"/>
      <c r="C10" s="288"/>
      <c r="D10" s="289" t="s">
        <v>702</v>
      </c>
      <c r="E10" s="288"/>
      <c r="F10" s="290"/>
      <c r="G10" s="290"/>
      <c r="H10" s="291"/>
      <c r="I10" s="290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</row>
    <row r="11" spans="1:27" ht="42" x14ac:dyDescent="0.3">
      <c r="A11" s="233" t="s">
        <v>276</v>
      </c>
      <c r="B11" s="292" t="s">
        <v>31</v>
      </c>
      <c r="C11" s="233">
        <v>103689</v>
      </c>
      <c r="D11" s="232" t="s">
        <v>701</v>
      </c>
      <c r="E11" s="292" t="s">
        <v>29</v>
      </c>
      <c r="F11" s="262">
        <v>3.13</v>
      </c>
      <c r="G11" s="262">
        <v>464.08</v>
      </c>
      <c r="H11" s="293">
        <f t="shared" ref="H11:H15" si="0">TRUNC(G11+(G11*$I$4),2)</f>
        <v>585.85</v>
      </c>
      <c r="I11" s="262">
        <f t="shared" ref="I11:I15" si="1">TRUNC(H11*F11,2)</f>
        <v>1833.71</v>
      </c>
    </row>
    <row r="12" spans="1:27" ht="51" customHeight="1" x14ac:dyDescent="0.3">
      <c r="A12" s="80" t="s">
        <v>276</v>
      </c>
      <c r="B12" s="80" t="s">
        <v>33</v>
      </c>
      <c r="C12" s="233">
        <v>99059</v>
      </c>
      <c r="D12" s="232" t="s">
        <v>338</v>
      </c>
      <c r="E12" s="233" t="s">
        <v>41</v>
      </c>
      <c r="F12" s="26">
        <v>156.07</v>
      </c>
      <c r="G12" s="26">
        <v>61.96</v>
      </c>
      <c r="H12" s="179">
        <f t="shared" si="0"/>
        <v>78.209999999999994</v>
      </c>
      <c r="I12" s="26">
        <f t="shared" si="1"/>
        <v>12206.23</v>
      </c>
    </row>
    <row r="13" spans="1:27" x14ac:dyDescent="0.3">
      <c r="A13" s="80" t="s">
        <v>773</v>
      </c>
      <c r="B13" s="80" t="s">
        <v>34</v>
      </c>
      <c r="C13" s="233" t="s">
        <v>772</v>
      </c>
      <c r="D13" s="232" t="s">
        <v>813</v>
      </c>
      <c r="E13" s="233" t="s">
        <v>42</v>
      </c>
      <c r="F13" s="26">
        <v>1</v>
      </c>
      <c r="G13" s="26">
        <v>2589</v>
      </c>
      <c r="H13" s="179">
        <f t="shared" si="0"/>
        <v>3268.35</v>
      </c>
      <c r="I13" s="26">
        <f t="shared" si="1"/>
        <v>3268.35</v>
      </c>
    </row>
    <row r="14" spans="1:27" ht="28" x14ac:dyDescent="0.3">
      <c r="A14" s="80" t="s">
        <v>773</v>
      </c>
      <c r="B14" s="80" t="s">
        <v>35</v>
      </c>
      <c r="C14" s="233" t="s">
        <v>772</v>
      </c>
      <c r="D14" s="232" t="s">
        <v>814</v>
      </c>
      <c r="E14" s="233" t="s">
        <v>123</v>
      </c>
      <c r="F14" s="26">
        <v>6</v>
      </c>
      <c r="G14" s="26">
        <v>2200</v>
      </c>
      <c r="H14" s="179">
        <f t="shared" si="0"/>
        <v>2777.28</v>
      </c>
      <c r="I14" s="26">
        <f t="shared" si="1"/>
        <v>16663.68</v>
      </c>
    </row>
    <row r="15" spans="1:27" ht="28" x14ac:dyDescent="0.3">
      <c r="A15" s="80" t="s">
        <v>773</v>
      </c>
      <c r="B15" s="80" t="s">
        <v>125</v>
      </c>
      <c r="C15" s="233" t="s">
        <v>772</v>
      </c>
      <c r="D15" s="232" t="s">
        <v>812</v>
      </c>
      <c r="E15" s="233" t="s">
        <v>123</v>
      </c>
      <c r="F15" s="26">
        <v>6</v>
      </c>
      <c r="G15" s="26">
        <v>650</v>
      </c>
      <c r="H15" s="179">
        <f t="shared" si="0"/>
        <v>820.56</v>
      </c>
      <c r="I15" s="26">
        <f t="shared" si="1"/>
        <v>4923.3599999999997</v>
      </c>
    </row>
    <row r="16" spans="1:27" x14ac:dyDescent="0.3">
      <c r="A16" s="27"/>
      <c r="B16" s="27" t="s">
        <v>10</v>
      </c>
      <c r="C16" s="28"/>
      <c r="D16" s="29" t="s">
        <v>875</v>
      </c>
      <c r="E16" s="28"/>
      <c r="F16" s="30"/>
      <c r="G16" s="30"/>
      <c r="H16" s="31"/>
      <c r="I16" s="30">
        <f>SUM(I17:I47)</f>
        <v>337559.31</v>
      </c>
    </row>
    <row r="17" spans="1:27" x14ac:dyDescent="0.3">
      <c r="A17" s="33"/>
      <c r="B17" s="33"/>
      <c r="C17" s="33"/>
      <c r="D17" s="34" t="s">
        <v>339</v>
      </c>
      <c r="E17" s="33"/>
      <c r="F17" s="35"/>
      <c r="G17" s="35"/>
      <c r="H17" s="36"/>
      <c r="I17" s="35"/>
    </row>
    <row r="18" spans="1:27" x14ac:dyDescent="0.3">
      <c r="A18" s="238"/>
      <c r="B18" s="238"/>
      <c r="C18" s="238"/>
      <c r="D18" s="239" t="s">
        <v>435</v>
      </c>
      <c r="E18" s="238"/>
      <c r="F18" s="240"/>
      <c r="G18" s="240"/>
      <c r="H18" s="241"/>
      <c r="I18" s="240"/>
    </row>
    <row r="19" spans="1:27" ht="50.25" customHeight="1" x14ac:dyDescent="0.3">
      <c r="A19" s="80" t="s">
        <v>276</v>
      </c>
      <c r="B19" s="24" t="s">
        <v>37</v>
      </c>
      <c r="C19" s="24">
        <v>96523</v>
      </c>
      <c r="D19" s="79" t="s">
        <v>340</v>
      </c>
      <c r="E19" s="24" t="s">
        <v>32</v>
      </c>
      <c r="F19" s="26">
        <v>26.1</v>
      </c>
      <c r="G19" s="26">
        <v>91.67</v>
      </c>
      <c r="H19" s="179">
        <f t="shared" ref="H19:H25" si="2">TRUNC(G19+(G19*$I$4),2)</f>
        <v>115.72</v>
      </c>
      <c r="I19" s="26">
        <f t="shared" ref="I19:I25" si="3">TRUNC(H19*F19,2)</f>
        <v>3020.29</v>
      </c>
    </row>
    <row r="20" spans="1:27" ht="37.5" customHeight="1" x14ac:dyDescent="0.3">
      <c r="A20" s="80" t="s">
        <v>276</v>
      </c>
      <c r="B20" s="24" t="s">
        <v>38</v>
      </c>
      <c r="C20" s="24">
        <v>93382</v>
      </c>
      <c r="D20" s="79" t="s">
        <v>341</v>
      </c>
      <c r="E20" s="24" t="s">
        <v>32</v>
      </c>
      <c r="F20" s="26">
        <v>2.9</v>
      </c>
      <c r="G20" s="26">
        <v>24.47</v>
      </c>
      <c r="H20" s="179">
        <f t="shared" si="2"/>
        <v>30.89</v>
      </c>
      <c r="I20" s="26">
        <f t="shared" si="3"/>
        <v>89.58</v>
      </c>
    </row>
    <row r="21" spans="1:27" ht="49.5" customHeight="1" x14ac:dyDescent="0.3">
      <c r="A21" s="80" t="s">
        <v>276</v>
      </c>
      <c r="B21" s="24" t="s">
        <v>713</v>
      </c>
      <c r="C21" s="24">
        <v>96535</v>
      </c>
      <c r="D21" s="79" t="s">
        <v>342</v>
      </c>
      <c r="E21" s="24" t="s">
        <v>29</v>
      </c>
      <c r="F21" s="26">
        <v>65.319999999999993</v>
      </c>
      <c r="G21" s="26">
        <v>134.49</v>
      </c>
      <c r="H21" s="179">
        <f t="shared" si="2"/>
        <v>169.78</v>
      </c>
      <c r="I21" s="26">
        <f t="shared" si="3"/>
        <v>11090.02</v>
      </c>
    </row>
    <row r="22" spans="1:27" ht="44.15" customHeight="1" x14ac:dyDescent="0.3">
      <c r="A22" s="80" t="s">
        <v>276</v>
      </c>
      <c r="B22" s="24" t="s">
        <v>39</v>
      </c>
      <c r="C22" s="24">
        <v>104111</v>
      </c>
      <c r="D22" s="79" t="s">
        <v>703</v>
      </c>
      <c r="E22" s="24" t="s">
        <v>343</v>
      </c>
      <c r="F22" s="26">
        <f>270.8+63.1</f>
        <v>333.90000000000003</v>
      </c>
      <c r="G22" s="26">
        <v>20.079999999999998</v>
      </c>
      <c r="H22" s="179">
        <f t="shared" ref="H22" si="4">TRUNC(G22+(G22*$I$4),2)</f>
        <v>25.34</v>
      </c>
      <c r="I22" s="26">
        <f>TRUNC(H22*F22,2)</f>
        <v>8461.02</v>
      </c>
    </row>
    <row r="23" spans="1:27" ht="39.75" customHeight="1" x14ac:dyDescent="0.3">
      <c r="A23" s="80" t="s">
        <v>276</v>
      </c>
      <c r="B23" s="24" t="s">
        <v>40</v>
      </c>
      <c r="C23" s="24">
        <v>104918</v>
      </c>
      <c r="D23" s="79" t="s">
        <v>629</v>
      </c>
      <c r="E23" s="24" t="s">
        <v>343</v>
      </c>
      <c r="F23" s="26">
        <v>850.75</v>
      </c>
      <c r="G23" s="26">
        <v>14.34</v>
      </c>
      <c r="H23" s="179">
        <f t="shared" si="2"/>
        <v>18.100000000000001</v>
      </c>
      <c r="I23" s="26">
        <f>TRUNC(H23*F23,2)</f>
        <v>15398.57</v>
      </c>
    </row>
    <row r="24" spans="1:27" ht="42" x14ac:dyDescent="0.35">
      <c r="A24" s="80" t="s">
        <v>276</v>
      </c>
      <c r="B24" s="24" t="s">
        <v>448</v>
      </c>
      <c r="C24" s="80">
        <v>94972</v>
      </c>
      <c r="D24" s="79" t="s">
        <v>684</v>
      </c>
      <c r="E24" s="80" t="s">
        <v>32</v>
      </c>
      <c r="F24" s="214">
        <v>23.2</v>
      </c>
      <c r="G24" s="26">
        <v>611.04</v>
      </c>
      <c r="H24" s="179">
        <f t="shared" si="2"/>
        <v>771.37</v>
      </c>
      <c r="I24" s="26">
        <f t="shared" si="3"/>
        <v>17895.78</v>
      </c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</row>
    <row r="25" spans="1:27" ht="28" x14ac:dyDescent="0.35">
      <c r="A25" s="80" t="s">
        <v>276</v>
      </c>
      <c r="B25" s="24" t="s">
        <v>714</v>
      </c>
      <c r="C25" s="80">
        <v>96558</v>
      </c>
      <c r="D25" s="79" t="s">
        <v>685</v>
      </c>
      <c r="E25" s="80" t="s">
        <v>32</v>
      </c>
      <c r="F25" s="214">
        <v>23.2</v>
      </c>
      <c r="G25" s="26">
        <v>1036.24</v>
      </c>
      <c r="H25" s="179">
        <f t="shared" si="2"/>
        <v>1308.1400000000001</v>
      </c>
      <c r="I25" s="26">
        <f t="shared" si="3"/>
        <v>30348.84</v>
      </c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</row>
    <row r="26" spans="1:27" x14ac:dyDescent="0.3">
      <c r="A26" s="33"/>
      <c r="B26" s="33"/>
      <c r="C26" s="33"/>
      <c r="D26" s="34" t="s">
        <v>346</v>
      </c>
      <c r="E26" s="33"/>
      <c r="F26" s="35"/>
      <c r="G26" s="35"/>
      <c r="H26" s="36"/>
      <c r="I26" s="35"/>
    </row>
    <row r="27" spans="1:27" x14ac:dyDescent="0.3">
      <c r="A27" s="238"/>
      <c r="B27" s="238"/>
      <c r="C27" s="238"/>
      <c r="D27" s="239" t="s">
        <v>686</v>
      </c>
      <c r="E27" s="238"/>
      <c r="F27" s="240"/>
      <c r="G27" s="240"/>
      <c r="H27" s="241"/>
      <c r="I27" s="240"/>
    </row>
    <row r="28" spans="1:27" ht="73.5" customHeight="1" x14ac:dyDescent="0.3">
      <c r="A28" s="80" t="s">
        <v>276</v>
      </c>
      <c r="B28" s="80" t="s">
        <v>449</v>
      </c>
      <c r="C28" s="24">
        <v>92419</v>
      </c>
      <c r="D28" s="79" t="s">
        <v>347</v>
      </c>
      <c r="E28" s="24" t="s">
        <v>29</v>
      </c>
      <c r="F28" s="26">
        <v>78.95</v>
      </c>
      <c r="G28" s="26">
        <v>97.09</v>
      </c>
      <c r="H28" s="179">
        <f t="shared" ref="H28:H38" si="5">TRUNC(G28+(G28*$I$4),2)</f>
        <v>122.56</v>
      </c>
      <c r="I28" s="26">
        <f t="shared" ref="I28:I38" si="6">TRUNC(H28*F28,2)</f>
        <v>9676.11</v>
      </c>
    </row>
    <row r="29" spans="1:27" ht="55.5" customHeight="1" x14ac:dyDescent="0.3">
      <c r="A29" s="80" t="s">
        <v>276</v>
      </c>
      <c r="B29" s="80" t="s">
        <v>450</v>
      </c>
      <c r="C29" s="24">
        <v>92459</v>
      </c>
      <c r="D29" s="79" t="s">
        <v>447</v>
      </c>
      <c r="E29" s="24" t="s">
        <v>29</v>
      </c>
      <c r="F29" s="26">
        <v>56.24</v>
      </c>
      <c r="G29" s="26">
        <v>146.54</v>
      </c>
      <c r="H29" s="179">
        <f t="shared" si="5"/>
        <v>184.99</v>
      </c>
      <c r="I29" s="26">
        <f t="shared" si="6"/>
        <v>10403.83</v>
      </c>
    </row>
    <row r="30" spans="1:27" ht="58.5" customHeight="1" x14ac:dyDescent="0.3">
      <c r="A30" s="80" t="s">
        <v>276</v>
      </c>
      <c r="B30" s="80" t="s">
        <v>715</v>
      </c>
      <c r="C30" s="24">
        <v>92759</v>
      </c>
      <c r="D30" s="79" t="s">
        <v>348</v>
      </c>
      <c r="E30" s="24" t="s">
        <v>343</v>
      </c>
      <c r="F30" s="26">
        <v>719.2</v>
      </c>
      <c r="G30" s="26">
        <v>14.05</v>
      </c>
      <c r="H30" s="179">
        <f t="shared" si="5"/>
        <v>17.73</v>
      </c>
      <c r="I30" s="26">
        <f t="shared" si="6"/>
        <v>12751.41</v>
      </c>
    </row>
    <row r="31" spans="1:27" ht="54" customHeight="1" x14ac:dyDescent="0.3">
      <c r="A31" s="80" t="s">
        <v>276</v>
      </c>
      <c r="B31" s="80" t="s">
        <v>716</v>
      </c>
      <c r="C31" s="24">
        <v>92761</v>
      </c>
      <c r="D31" s="79" t="s">
        <v>349</v>
      </c>
      <c r="E31" s="24" t="s">
        <v>343</v>
      </c>
      <c r="F31" s="26">
        <v>2806.35</v>
      </c>
      <c r="G31" s="26">
        <v>12.52</v>
      </c>
      <c r="H31" s="179">
        <f t="shared" si="5"/>
        <v>15.8</v>
      </c>
      <c r="I31" s="26">
        <f t="shared" si="6"/>
        <v>44340.33</v>
      </c>
    </row>
    <row r="32" spans="1:27" ht="54" customHeight="1" x14ac:dyDescent="0.3">
      <c r="A32" s="80" t="s">
        <v>276</v>
      </c>
      <c r="B32" s="80" t="s">
        <v>451</v>
      </c>
      <c r="C32" s="24">
        <v>92762</v>
      </c>
      <c r="D32" s="79" t="s">
        <v>350</v>
      </c>
      <c r="E32" s="24" t="s">
        <v>343</v>
      </c>
      <c r="F32" s="26">
        <v>1364.1</v>
      </c>
      <c r="G32" s="26">
        <v>11.2</v>
      </c>
      <c r="H32" s="179">
        <f t="shared" si="5"/>
        <v>14.13</v>
      </c>
      <c r="I32" s="26">
        <f t="shared" si="6"/>
        <v>19274.73</v>
      </c>
    </row>
    <row r="33" spans="1:27" ht="54" customHeight="1" x14ac:dyDescent="0.3">
      <c r="A33" s="80" t="s">
        <v>276</v>
      </c>
      <c r="B33" s="80" t="s">
        <v>451</v>
      </c>
      <c r="C33" s="24">
        <v>92763</v>
      </c>
      <c r="D33" s="79" t="s">
        <v>870</v>
      </c>
      <c r="E33" s="24" t="s">
        <v>343</v>
      </c>
      <c r="F33" s="26">
        <v>166.9</v>
      </c>
      <c r="G33" s="26">
        <v>9.42</v>
      </c>
      <c r="H33" s="179">
        <f t="shared" ref="H33" si="7">TRUNC(G33+(G33*$I$4),2)</f>
        <v>11.89</v>
      </c>
      <c r="I33" s="26">
        <f t="shared" ref="I33" si="8">TRUNC(H33*F33,2)</f>
        <v>1984.44</v>
      </c>
    </row>
    <row r="34" spans="1:27" ht="54" customHeight="1" x14ac:dyDescent="0.3">
      <c r="A34" s="80" t="s">
        <v>276</v>
      </c>
      <c r="B34" s="80" t="s">
        <v>451</v>
      </c>
      <c r="C34" s="24">
        <v>92764</v>
      </c>
      <c r="D34" s="79" t="s">
        <v>871</v>
      </c>
      <c r="E34" s="24" t="s">
        <v>343</v>
      </c>
      <c r="F34" s="26">
        <v>451.4</v>
      </c>
      <c r="G34" s="26">
        <v>9.1199999999999992</v>
      </c>
      <c r="H34" s="179">
        <f t="shared" ref="H34" si="9">TRUNC(G34+(G34*$I$4),2)</f>
        <v>11.51</v>
      </c>
      <c r="I34" s="26">
        <f t="shared" ref="I34" si="10">TRUNC(H34*F34,2)</f>
        <v>5195.6099999999997</v>
      </c>
    </row>
    <row r="35" spans="1:27" ht="54" customHeight="1" x14ac:dyDescent="0.3">
      <c r="A35" s="80" t="s">
        <v>276</v>
      </c>
      <c r="B35" s="80" t="s">
        <v>451</v>
      </c>
      <c r="C35" s="24">
        <v>92765</v>
      </c>
      <c r="D35" s="79" t="s">
        <v>872</v>
      </c>
      <c r="E35" s="24" t="s">
        <v>343</v>
      </c>
      <c r="F35" s="26">
        <v>388.2</v>
      </c>
      <c r="G35" s="26">
        <v>10.39</v>
      </c>
      <c r="H35" s="179">
        <f t="shared" ref="H35" si="11">TRUNC(G35+(G35*$I$4),2)</f>
        <v>13.11</v>
      </c>
      <c r="I35" s="26">
        <f t="shared" ref="I35" si="12">TRUNC(H35*F35,2)</f>
        <v>5089.3</v>
      </c>
    </row>
    <row r="36" spans="1:27" ht="54" customHeight="1" x14ac:dyDescent="0.3">
      <c r="A36" s="80" t="s">
        <v>276</v>
      </c>
      <c r="B36" s="80" t="s">
        <v>451</v>
      </c>
      <c r="C36" s="24">
        <v>92760</v>
      </c>
      <c r="D36" s="79" t="s">
        <v>873</v>
      </c>
      <c r="E36" s="24" t="s">
        <v>343</v>
      </c>
      <c r="F36" s="26">
        <v>124.4</v>
      </c>
      <c r="G36" s="26">
        <v>13.3</v>
      </c>
      <c r="H36" s="179">
        <f t="shared" ref="H36" si="13">TRUNC(G36+(G36*$I$4),2)</f>
        <v>16.78</v>
      </c>
      <c r="I36" s="26">
        <f t="shared" ref="I36" si="14">TRUNC(H36*F36,2)</f>
        <v>2087.4299999999998</v>
      </c>
    </row>
    <row r="37" spans="1:27" ht="42.5" customHeight="1" x14ac:dyDescent="0.3">
      <c r="A37" s="80" t="s">
        <v>276</v>
      </c>
      <c r="B37" s="80" t="s">
        <v>452</v>
      </c>
      <c r="C37" s="24">
        <v>94971</v>
      </c>
      <c r="D37" s="79" t="s">
        <v>688</v>
      </c>
      <c r="E37" s="24" t="s">
        <v>32</v>
      </c>
      <c r="F37" s="26">
        <v>77</v>
      </c>
      <c r="G37" s="26">
        <v>591.05999999999995</v>
      </c>
      <c r="H37" s="179">
        <f t="shared" si="5"/>
        <v>746.15</v>
      </c>
      <c r="I37" s="26">
        <f t="shared" si="6"/>
        <v>57453.55</v>
      </c>
    </row>
    <row r="38" spans="1:27" ht="46.5" customHeight="1" x14ac:dyDescent="0.35">
      <c r="A38" s="80" t="s">
        <v>276</v>
      </c>
      <c r="B38" s="80" t="s">
        <v>453</v>
      </c>
      <c r="C38" s="80">
        <v>103670</v>
      </c>
      <c r="D38" s="79" t="s">
        <v>687</v>
      </c>
      <c r="E38" s="24" t="s">
        <v>32</v>
      </c>
      <c r="F38" s="26">
        <v>77</v>
      </c>
      <c r="G38" s="26">
        <v>287.23</v>
      </c>
      <c r="H38" s="179">
        <f t="shared" si="5"/>
        <v>362.59</v>
      </c>
      <c r="I38" s="26">
        <f t="shared" si="6"/>
        <v>27919.43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</row>
    <row r="39" spans="1:27" x14ac:dyDescent="0.3">
      <c r="A39" s="33"/>
      <c r="B39" s="33"/>
      <c r="C39" s="33"/>
      <c r="D39" s="34" t="s">
        <v>874</v>
      </c>
      <c r="E39" s="33"/>
      <c r="F39" s="35"/>
      <c r="G39" s="35"/>
      <c r="H39" s="36"/>
      <c r="I39" s="35"/>
    </row>
    <row r="40" spans="1:27" ht="39.75" customHeight="1" x14ac:dyDescent="0.3">
      <c r="A40" s="80" t="s">
        <v>276</v>
      </c>
      <c r="B40" s="24" t="s">
        <v>40</v>
      </c>
      <c r="C40" s="24">
        <v>104918</v>
      </c>
      <c r="D40" s="79" t="s">
        <v>629</v>
      </c>
      <c r="E40" s="24" t="s">
        <v>343</v>
      </c>
      <c r="F40" s="26">
        <v>455.04</v>
      </c>
      <c r="G40" s="26">
        <v>14.34</v>
      </c>
      <c r="H40" s="179">
        <f t="shared" ref="H40:H42" si="15">TRUNC(G40+(G40*$I$4),2)</f>
        <v>18.100000000000001</v>
      </c>
      <c r="I40" s="26">
        <f>TRUNC(H40*F40,2)</f>
        <v>8236.2199999999993</v>
      </c>
    </row>
    <row r="41" spans="1:27" ht="42" x14ac:dyDescent="0.35">
      <c r="A41" s="80" t="s">
        <v>276</v>
      </c>
      <c r="B41" s="24" t="s">
        <v>448</v>
      </c>
      <c r="C41" s="80">
        <v>94972</v>
      </c>
      <c r="D41" s="79" t="s">
        <v>684</v>
      </c>
      <c r="E41" s="80" t="s">
        <v>32</v>
      </c>
      <c r="F41" s="214">
        <v>17.28</v>
      </c>
      <c r="G41" s="26">
        <v>611.04</v>
      </c>
      <c r="H41" s="179">
        <f t="shared" si="15"/>
        <v>771.37</v>
      </c>
      <c r="I41" s="26">
        <f t="shared" ref="I41:I42" si="16">TRUNC(H41*F41,2)</f>
        <v>13329.27</v>
      </c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</row>
    <row r="42" spans="1:27" ht="28" x14ac:dyDescent="0.35">
      <c r="A42" s="80" t="s">
        <v>276</v>
      </c>
      <c r="B42" s="24" t="s">
        <v>714</v>
      </c>
      <c r="C42" s="80">
        <v>96558</v>
      </c>
      <c r="D42" s="79" t="s">
        <v>685</v>
      </c>
      <c r="E42" s="80" t="s">
        <v>32</v>
      </c>
      <c r="F42" s="214">
        <v>17.28</v>
      </c>
      <c r="G42" s="26">
        <v>1036.24</v>
      </c>
      <c r="H42" s="179">
        <f t="shared" si="15"/>
        <v>1308.1400000000001</v>
      </c>
      <c r="I42" s="26">
        <f t="shared" si="16"/>
        <v>22604.65</v>
      </c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</row>
    <row r="43" spans="1:27" ht="14.5" x14ac:dyDescent="0.35">
      <c r="A43" s="33"/>
      <c r="B43" s="33"/>
      <c r="C43" s="33"/>
      <c r="D43" s="34" t="s">
        <v>876</v>
      </c>
      <c r="E43" s="33"/>
      <c r="F43" s="35"/>
      <c r="G43" s="35"/>
      <c r="H43" s="36"/>
      <c r="I43" s="35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</row>
    <row r="44" spans="1:27" ht="42" x14ac:dyDescent="0.35">
      <c r="A44" s="80" t="s">
        <v>276</v>
      </c>
      <c r="B44" s="80" t="s">
        <v>717</v>
      </c>
      <c r="C44" s="80">
        <v>102073</v>
      </c>
      <c r="D44" s="79" t="s">
        <v>877</v>
      </c>
      <c r="E44" s="24" t="s">
        <v>32</v>
      </c>
      <c r="F44" s="26">
        <v>1.4256</v>
      </c>
      <c r="G44" s="26">
        <v>4152.5</v>
      </c>
      <c r="H44" s="179">
        <f>TRUNC(G44+(G44*$I$4),2)</f>
        <v>5242.1099999999997</v>
      </c>
      <c r="I44" s="26">
        <f>TRUNC(H44*F44,2)</f>
        <v>7473.15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1:27" ht="14.5" x14ac:dyDescent="0.35">
      <c r="A45" s="33"/>
      <c r="B45" s="33"/>
      <c r="C45" s="33"/>
      <c r="D45" s="34" t="s">
        <v>351</v>
      </c>
      <c r="E45" s="33"/>
      <c r="F45" s="35"/>
      <c r="G45" s="35"/>
      <c r="H45" s="36"/>
      <c r="I45" s="35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</row>
    <row r="46" spans="1:27" ht="14.5" x14ac:dyDescent="0.35">
      <c r="A46" s="238"/>
      <c r="B46" s="238"/>
      <c r="C46" s="238"/>
      <c r="D46" s="239" t="s">
        <v>352</v>
      </c>
      <c r="E46" s="238"/>
      <c r="F46" s="240"/>
      <c r="G46" s="240"/>
      <c r="H46" s="241"/>
      <c r="I46" s="240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</row>
    <row r="47" spans="1:27" ht="28" x14ac:dyDescent="0.35">
      <c r="A47" s="80" t="s">
        <v>276</v>
      </c>
      <c r="B47" s="80" t="s">
        <v>717</v>
      </c>
      <c r="C47" s="80">
        <v>98557</v>
      </c>
      <c r="D47" s="79" t="s">
        <v>353</v>
      </c>
      <c r="E47" s="24" t="s">
        <v>29</v>
      </c>
      <c r="F47" s="26">
        <v>64.849999999999994</v>
      </c>
      <c r="G47" s="26">
        <v>41.97</v>
      </c>
      <c r="H47" s="179">
        <f>TRUNC(G47+(G47*$I$4),2)</f>
        <v>52.98</v>
      </c>
      <c r="I47" s="26">
        <f>TRUNC(H47*F47,2)</f>
        <v>3435.75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1:27" ht="14.5" x14ac:dyDescent="0.35">
      <c r="A48" s="27"/>
      <c r="B48" s="27" t="s">
        <v>11</v>
      </c>
      <c r="C48" s="28"/>
      <c r="D48" s="29" t="s">
        <v>324</v>
      </c>
      <c r="E48" s="28"/>
      <c r="F48" s="30"/>
      <c r="G48" s="30"/>
      <c r="H48" s="31"/>
      <c r="I48" s="30">
        <f>SUM(I50:I52)</f>
        <v>179214.19</v>
      </c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</row>
    <row r="49" spans="1:27" ht="14.5" x14ac:dyDescent="0.35">
      <c r="A49" s="33"/>
      <c r="B49" s="33"/>
      <c r="C49" s="33"/>
      <c r="D49" s="34" t="s">
        <v>638</v>
      </c>
      <c r="E49" s="33"/>
      <c r="F49" s="35"/>
      <c r="G49" s="35"/>
      <c r="H49" s="36"/>
      <c r="I49" s="35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</row>
    <row r="50" spans="1:27" ht="56" x14ac:dyDescent="0.35">
      <c r="A50" s="80" t="s">
        <v>276</v>
      </c>
      <c r="B50" s="80" t="s">
        <v>283</v>
      </c>
      <c r="C50" s="24">
        <v>103330</v>
      </c>
      <c r="D50" s="79" t="s">
        <v>689</v>
      </c>
      <c r="E50" s="24" t="s">
        <v>29</v>
      </c>
      <c r="F50" s="26">
        <v>1319.73</v>
      </c>
      <c r="G50" s="26">
        <v>86.35</v>
      </c>
      <c r="H50" s="179">
        <f>TRUNC(G50+(G50*$I$4),2)</f>
        <v>109</v>
      </c>
      <c r="I50" s="26">
        <f>TRUNC(H50*F50,2)</f>
        <v>143850.57</v>
      </c>
      <c r="J50" s="180">
        <f>10.91+10.25+19.37+19.37+10.25+10.91+61.07+7.1+16.5+16.5+6.59+44.53</f>
        <v>233.35</v>
      </c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</row>
    <row r="51" spans="1:27" ht="14.5" x14ac:dyDescent="0.35">
      <c r="A51" s="33"/>
      <c r="B51" s="33"/>
      <c r="C51" s="33"/>
      <c r="D51" s="34" t="s">
        <v>805</v>
      </c>
      <c r="E51" s="33"/>
      <c r="F51" s="35"/>
      <c r="G51" s="35"/>
      <c r="H51" s="36"/>
      <c r="I51" s="35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</row>
    <row r="52" spans="1:27" ht="42" x14ac:dyDescent="0.35">
      <c r="A52" s="80" t="s">
        <v>276</v>
      </c>
      <c r="B52" s="80" t="s">
        <v>817</v>
      </c>
      <c r="C52" s="24">
        <v>102253</v>
      </c>
      <c r="D52" s="79" t="s">
        <v>806</v>
      </c>
      <c r="E52" s="24" t="s">
        <v>29</v>
      </c>
      <c r="F52" s="26">
        <v>33.06</v>
      </c>
      <c r="G52" s="26">
        <v>847.34</v>
      </c>
      <c r="H52" s="179">
        <f>TRUNC(G52+(G52*$I$4),2)</f>
        <v>1069.68</v>
      </c>
      <c r="I52" s="26">
        <f>TRUNC(H52*F52,2)</f>
        <v>35363.620000000003</v>
      </c>
      <c r="J52" s="180">
        <f>10.91+10.25+19.37+19.37+10.25+10.91+61.07+7.1+16.5+16.5+6.59+44.53</f>
        <v>233.35</v>
      </c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</row>
    <row r="53" spans="1:27" ht="14.5" x14ac:dyDescent="0.35">
      <c r="A53" s="27"/>
      <c r="B53" s="27" t="s">
        <v>279</v>
      </c>
      <c r="C53" s="28"/>
      <c r="D53" s="29" t="s">
        <v>318</v>
      </c>
      <c r="E53" s="28"/>
      <c r="F53" s="30"/>
      <c r="G53" s="30"/>
      <c r="H53" s="31"/>
      <c r="I53" s="30">
        <f>SUM(I54:I56)</f>
        <v>109037.64</v>
      </c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</row>
    <row r="54" spans="1:27" ht="56" x14ac:dyDescent="0.35">
      <c r="A54" s="80" t="s">
        <v>276</v>
      </c>
      <c r="B54" s="80" t="s">
        <v>299</v>
      </c>
      <c r="C54" s="24">
        <v>87879</v>
      </c>
      <c r="D54" s="79" t="s">
        <v>278</v>
      </c>
      <c r="E54" s="24" t="s">
        <v>29</v>
      </c>
      <c r="F54" s="26">
        <f>F50*2</f>
        <v>2639.46</v>
      </c>
      <c r="G54" s="26">
        <v>4.5199999999999996</v>
      </c>
      <c r="H54" s="179">
        <f>TRUNC(G54+(G54*$I$4),2)</f>
        <v>5.7</v>
      </c>
      <c r="I54" s="26">
        <f>TRUNC(H54*F54,2)</f>
        <v>15044.92</v>
      </c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</row>
    <row r="55" spans="1:27" ht="59.65" customHeight="1" x14ac:dyDescent="0.35">
      <c r="A55" s="80" t="s">
        <v>276</v>
      </c>
      <c r="B55" s="80" t="s">
        <v>718</v>
      </c>
      <c r="C55" s="24">
        <v>87553</v>
      </c>
      <c r="D55" s="79" t="s">
        <v>645</v>
      </c>
      <c r="E55" s="24" t="s">
        <v>29</v>
      </c>
      <c r="F55" s="26">
        <f>F54-F56</f>
        <v>2086.0169999999998</v>
      </c>
      <c r="G55" s="26">
        <v>22.23</v>
      </c>
      <c r="H55" s="179">
        <f>TRUNC(G55+(G55*$I$4),2)</f>
        <v>28.06</v>
      </c>
      <c r="I55" s="26">
        <f>TRUNC(H55*F55,2)</f>
        <v>58533.63</v>
      </c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180"/>
      <c r="Z55" s="180"/>
      <c r="AA55" s="180"/>
    </row>
    <row r="56" spans="1:27" ht="72" customHeight="1" x14ac:dyDescent="0.35">
      <c r="A56" s="80" t="s">
        <v>276</v>
      </c>
      <c r="B56" s="80" t="s">
        <v>718</v>
      </c>
      <c r="C56" s="24">
        <v>104217</v>
      </c>
      <c r="D56" s="79" t="s">
        <v>788</v>
      </c>
      <c r="E56" s="24" t="s">
        <v>29</v>
      </c>
      <c r="F56" s="26">
        <v>553.44299999999998</v>
      </c>
      <c r="G56" s="26">
        <v>50.76</v>
      </c>
      <c r="H56" s="179">
        <f>TRUNC(G56+(G56*$I$4),2)</f>
        <v>64.069999999999993</v>
      </c>
      <c r="I56" s="26">
        <f>TRUNC(H56*F56,2)</f>
        <v>35459.089999999997</v>
      </c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</row>
    <row r="57" spans="1:27" ht="14.5" x14ac:dyDescent="0.35">
      <c r="A57" s="27"/>
      <c r="B57" s="27" t="s">
        <v>282</v>
      </c>
      <c r="C57" s="28"/>
      <c r="D57" s="29" t="s">
        <v>878</v>
      </c>
      <c r="E57" s="28"/>
      <c r="F57" s="30"/>
      <c r="G57" s="30"/>
      <c r="H57" s="31"/>
      <c r="I57" s="30">
        <f>SUM(I58:I70)</f>
        <v>971451.85999999987</v>
      </c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</row>
    <row r="58" spans="1:27" ht="14.5" x14ac:dyDescent="0.35">
      <c r="A58" s="33"/>
      <c r="B58" s="33"/>
      <c r="C58" s="33"/>
      <c r="D58" s="34" t="s">
        <v>465</v>
      </c>
      <c r="E58" s="33"/>
      <c r="F58" s="35"/>
      <c r="G58" s="35"/>
      <c r="H58" s="36"/>
      <c r="I58" s="35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</row>
    <row r="59" spans="1:27" ht="28" x14ac:dyDescent="0.35">
      <c r="A59" s="80" t="s">
        <v>276</v>
      </c>
      <c r="B59" s="80" t="s">
        <v>457</v>
      </c>
      <c r="C59" s="24">
        <v>94213</v>
      </c>
      <c r="D59" s="79" t="s">
        <v>867</v>
      </c>
      <c r="E59" s="24" t="s">
        <v>29</v>
      </c>
      <c r="F59" s="213">
        <v>4071.07</v>
      </c>
      <c r="G59" s="26">
        <v>60.73</v>
      </c>
      <c r="H59" s="179">
        <f>TRUNC(G59+(G59*$I$4),2)</f>
        <v>76.66</v>
      </c>
      <c r="I59" s="26">
        <f>TRUNC(H59*F59,2)</f>
        <v>312088.21999999997</v>
      </c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</row>
    <row r="60" spans="1:27" ht="56" x14ac:dyDescent="0.35">
      <c r="A60" s="80" t="s">
        <v>276</v>
      </c>
      <c r="B60" s="80" t="s">
        <v>458</v>
      </c>
      <c r="C60" s="24">
        <v>92580</v>
      </c>
      <c r="D60" s="79" t="s">
        <v>868</v>
      </c>
      <c r="E60" s="24" t="s">
        <v>29</v>
      </c>
      <c r="F60" s="213">
        <v>4071.07</v>
      </c>
      <c r="G60" s="26">
        <v>46.31</v>
      </c>
      <c r="H60" s="179">
        <f>TRUNC(G60+(G60*$I$4),2)</f>
        <v>58.46</v>
      </c>
      <c r="I60" s="26">
        <f>TRUNC(H60*F60,2)</f>
        <v>237994.75</v>
      </c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</row>
    <row r="61" spans="1:27" ht="56" x14ac:dyDescent="0.35">
      <c r="A61" s="80" t="s">
        <v>276</v>
      </c>
      <c r="B61" s="80" t="s">
        <v>459</v>
      </c>
      <c r="C61" s="24">
        <v>92608</v>
      </c>
      <c r="D61" s="79" t="s">
        <v>879</v>
      </c>
      <c r="E61" s="80" t="s">
        <v>42</v>
      </c>
      <c r="F61" s="213">
        <v>1</v>
      </c>
      <c r="G61" s="26">
        <v>1100.06</v>
      </c>
      <c r="H61" s="179">
        <f>TRUNC(G61+(G61*$I$4),2)</f>
        <v>1388.71</v>
      </c>
      <c r="I61" s="26">
        <f>TRUNC(H61*F61,2)</f>
        <v>1388.71</v>
      </c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</row>
    <row r="62" spans="1:27" ht="56" x14ac:dyDescent="0.35">
      <c r="A62" s="80" t="s">
        <v>276</v>
      </c>
      <c r="B62" s="80" t="s">
        <v>459</v>
      </c>
      <c r="C62" s="24">
        <v>92620</v>
      </c>
      <c r="D62" s="79" t="s">
        <v>815</v>
      </c>
      <c r="E62" s="80" t="s">
        <v>42</v>
      </c>
      <c r="F62" s="213">
        <v>7</v>
      </c>
      <c r="G62" s="26">
        <v>1994.24</v>
      </c>
      <c r="H62" s="179">
        <f>TRUNC(G62+(G62*$I$4),2)</f>
        <v>2517.52</v>
      </c>
      <c r="I62" s="26">
        <f>TRUNC(H62*F62,2)</f>
        <v>17622.64</v>
      </c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</row>
    <row r="63" spans="1:27" ht="56" x14ac:dyDescent="0.35">
      <c r="A63" s="80" t="s">
        <v>276</v>
      </c>
      <c r="B63" s="80" t="s">
        <v>818</v>
      </c>
      <c r="C63" s="24" t="s">
        <v>772</v>
      </c>
      <c r="D63" s="79" t="s">
        <v>880</v>
      </c>
      <c r="E63" s="80" t="s">
        <v>42</v>
      </c>
      <c r="F63" s="213">
        <v>42</v>
      </c>
      <c r="G63" s="26">
        <v>2428</v>
      </c>
      <c r="H63" s="179">
        <f>TRUNC(G63+(G63*$I$4),2)</f>
        <v>3065.1</v>
      </c>
      <c r="I63" s="26">
        <f>TRUNC(H63*F63,2)</f>
        <v>128734.2</v>
      </c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</row>
    <row r="64" spans="1:27" ht="14.5" x14ac:dyDescent="0.35">
      <c r="A64" s="33"/>
      <c r="B64" s="33"/>
      <c r="C64" s="33"/>
      <c r="D64" s="34" t="s">
        <v>796</v>
      </c>
      <c r="E64" s="33"/>
      <c r="F64" s="35"/>
      <c r="G64" s="35"/>
      <c r="H64" s="36"/>
      <c r="I64" s="35"/>
      <c r="J64" s="180"/>
      <c r="K64" s="180"/>
      <c r="L64" s="180"/>
      <c r="M64" s="180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</row>
    <row r="65" spans="1:27" ht="28" x14ac:dyDescent="0.35">
      <c r="A65" s="80" t="s">
        <v>276</v>
      </c>
      <c r="B65" s="80" t="s">
        <v>819</v>
      </c>
      <c r="C65" s="24">
        <v>94231</v>
      </c>
      <c r="D65" s="79" t="s">
        <v>797</v>
      </c>
      <c r="E65" s="24" t="s">
        <v>41</v>
      </c>
      <c r="F65" s="213">
        <v>15.15</v>
      </c>
      <c r="G65" s="26">
        <v>55.16</v>
      </c>
      <c r="H65" s="179">
        <f>TRUNC(G65+(G65*$I$4),2)</f>
        <v>69.63</v>
      </c>
      <c r="I65" s="26">
        <f>TRUNC(H65*F65,2)</f>
        <v>1054.8900000000001</v>
      </c>
      <c r="J65" s="180"/>
      <c r="K65" s="180"/>
      <c r="L65" s="180"/>
      <c r="M65" s="180"/>
      <c r="N65" s="180"/>
      <c r="O65" s="180"/>
      <c r="P65" s="180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</row>
    <row r="66" spans="1:27" ht="28" x14ac:dyDescent="0.35">
      <c r="A66" s="80" t="s">
        <v>276</v>
      </c>
      <c r="B66" s="80" t="s">
        <v>820</v>
      </c>
      <c r="C66" s="24">
        <v>101979</v>
      </c>
      <c r="D66" s="79" t="s">
        <v>798</v>
      </c>
      <c r="E66" s="24" t="s">
        <v>41</v>
      </c>
      <c r="F66" s="213">
        <v>44.1</v>
      </c>
      <c r="G66" s="26">
        <v>47.2</v>
      </c>
      <c r="H66" s="179">
        <f>TRUNC(G66+(G66*$I$4),2)</f>
        <v>59.58</v>
      </c>
      <c r="I66" s="26">
        <f>TRUNC(H66*F66,2)</f>
        <v>2627.47</v>
      </c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</row>
    <row r="67" spans="1:27" ht="14.5" x14ac:dyDescent="0.35">
      <c r="A67" s="33"/>
      <c r="B67" s="33"/>
      <c r="C67" s="33"/>
      <c r="D67" s="34" t="s">
        <v>901</v>
      </c>
      <c r="E67" s="33"/>
      <c r="F67" s="35"/>
      <c r="G67" s="35"/>
      <c r="H67" s="36"/>
      <c r="I67" s="35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</row>
    <row r="68" spans="1:27" ht="56" x14ac:dyDescent="0.35">
      <c r="A68" s="80" t="s">
        <v>276</v>
      </c>
      <c r="B68" s="80" t="s">
        <v>821</v>
      </c>
      <c r="C68" s="80">
        <v>100766</v>
      </c>
      <c r="D68" s="79" t="s">
        <v>902</v>
      </c>
      <c r="E68" s="24" t="s">
        <v>61</v>
      </c>
      <c r="F68" s="214">
        <v>14558.4</v>
      </c>
      <c r="G68" s="26">
        <v>14.07</v>
      </c>
      <c r="H68" s="179">
        <f>TRUNC(G68+(G68*$I$4),2)</f>
        <v>17.760000000000002</v>
      </c>
      <c r="I68" s="26">
        <f>TRUNC(H68*F68,2)</f>
        <v>258557.18</v>
      </c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</row>
    <row r="69" spans="1:27" ht="14.5" x14ac:dyDescent="0.35">
      <c r="A69" s="33"/>
      <c r="B69" s="33"/>
      <c r="C69" s="33"/>
      <c r="D69" s="34" t="s">
        <v>356</v>
      </c>
      <c r="E69" s="33"/>
      <c r="F69" s="35"/>
      <c r="G69" s="35"/>
      <c r="H69" s="36"/>
      <c r="I69" s="35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</row>
    <row r="70" spans="1:27" ht="42" x14ac:dyDescent="0.35">
      <c r="A70" s="80" t="s">
        <v>276</v>
      </c>
      <c r="B70" s="80" t="s">
        <v>822</v>
      </c>
      <c r="C70" s="24">
        <v>96486</v>
      </c>
      <c r="D70" s="79" t="s">
        <v>881</v>
      </c>
      <c r="E70" s="24" t="s">
        <v>41</v>
      </c>
      <c r="F70" s="213">
        <v>122.71</v>
      </c>
      <c r="G70" s="26">
        <v>73.489999999999995</v>
      </c>
      <c r="H70" s="179">
        <f>TRUNC(G70+(G70*$I$4),2)</f>
        <v>92.77</v>
      </c>
      <c r="I70" s="26">
        <f>TRUNC(H70*F70,2)</f>
        <v>11383.8</v>
      </c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</row>
    <row r="71" spans="1:27" ht="14.5" x14ac:dyDescent="0.35">
      <c r="A71" s="27"/>
      <c r="B71" s="27" t="s">
        <v>284</v>
      </c>
      <c r="C71" s="28"/>
      <c r="D71" s="29" t="s">
        <v>355</v>
      </c>
      <c r="E71" s="28"/>
      <c r="F71" s="30"/>
      <c r="G71" s="30"/>
      <c r="H71" s="31"/>
      <c r="I71" s="30">
        <f>SUM(I72:I83)</f>
        <v>88157.200000000012</v>
      </c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</row>
    <row r="72" spans="1:27" ht="14.5" x14ac:dyDescent="0.35">
      <c r="A72" s="33"/>
      <c r="B72" s="33"/>
      <c r="C72" s="33"/>
      <c r="D72" s="34" t="s">
        <v>354</v>
      </c>
      <c r="E72" s="33"/>
      <c r="F72" s="35"/>
      <c r="G72" s="35"/>
      <c r="H72" s="36"/>
      <c r="I72" s="35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</row>
    <row r="73" spans="1:27" ht="28" x14ac:dyDescent="0.35">
      <c r="A73" s="80" t="s">
        <v>276</v>
      </c>
      <c r="B73" s="80" t="s">
        <v>460</v>
      </c>
      <c r="C73" s="80">
        <v>93184</v>
      </c>
      <c r="D73" s="79" t="s">
        <v>704</v>
      </c>
      <c r="E73" s="80" t="s">
        <v>41</v>
      </c>
      <c r="F73" s="26">
        <v>67</v>
      </c>
      <c r="G73" s="26">
        <v>29.9</v>
      </c>
      <c r="H73" s="179">
        <f>TRUNC(G73+(G73*$I$4),2)</f>
        <v>37.74</v>
      </c>
      <c r="I73" s="26">
        <f>TRUNC(H73*F73,2)</f>
        <v>2528.58</v>
      </c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</row>
    <row r="74" spans="1:27" ht="28" x14ac:dyDescent="0.35">
      <c r="A74" s="80" t="s">
        <v>276</v>
      </c>
      <c r="B74" s="80" t="s">
        <v>706</v>
      </c>
      <c r="C74" s="80">
        <v>93194</v>
      </c>
      <c r="D74" s="79" t="s">
        <v>705</v>
      </c>
      <c r="E74" s="80" t="s">
        <v>41</v>
      </c>
      <c r="F74" s="26">
        <v>34.4</v>
      </c>
      <c r="G74" s="26">
        <v>29.24</v>
      </c>
      <c r="H74" s="179">
        <f>TRUNC(G74+(G74*$I$4),2)</f>
        <v>36.909999999999997</v>
      </c>
      <c r="I74" s="26">
        <f>TRUNC(H74*F74,2)</f>
        <v>1269.7</v>
      </c>
      <c r="J74" s="180"/>
      <c r="K74" s="180"/>
      <c r="L74" s="180"/>
      <c r="M74" s="180"/>
      <c r="N74" s="180"/>
      <c r="O74" s="180"/>
      <c r="P74" s="180"/>
      <c r="Q74" s="180"/>
      <c r="R74" s="180"/>
      <c r="S74" s="180"/>
      <c r="T74" s="180"/>
      <c r="U74" s="180"/>
      <c r="V74" s="180"/>
      <c r="W74" s="180"/>
      <c r="X74" s="180"/>
      <c r="Y74" s="180"/>
      <c r="Z74" s="180"/>
      <c r="AA74" s="180"/>
    </row>
    <row r="75" spans="1:27" ht="14.5" x14ac:dyDescent="0.35">
      <c r="A75" s="33"/>
      <c r="B75" s="33"/>
      <c r="C75" s="33"/>
      <c r="D75" s="34" t="s">
        <v>691</v>
      </c>
      <c r="E75" s="33"/>
      <c r="F75" s="35"/>
      <c r="G75" s="35"/>
      <c r="H75" s="36"/>
      <c r="I75" s="35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</row>
    <row r="76" spans="1:27" ht="70" x14ac:dyDescent="0.35">
      <c r="A76" s="80" t="s">
        <v>276</v>
      </c>
      <c r="B76" s="80" t="s">
        <v>707</v>
      </c>
      <c r="C76" s="24">
        <v>90845</v>
      </c>
      <c r="D76" s="79" t="s">
        <v>658</v>
      </c>
      <c r="E76" s="80" t="s">
        <v>42</v>
      </c>
      <c r="F76" s="214">
        <v>8</v>
      </c>
      <c r="G76" s="26">
        <v>1393.14</v>
      </c>
      <c r="H76" s="179">
        <f>TRUNC(G76+(G76*$I$4),2)</f>
        <v>1758.69</v>
      </c>
      <c r="I76" s="26">
        <f>TRUNC(H76*F76,2)</f>
        <v>14069.52</v>
      </c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</row>
    <row r="77" spans="1:27" ht="70" x14ac:dyDescent="0.35">
      <c r="A77" s="80" t="s">
        <v>276</v>
      </c>
      <c r="B77" s="80" t="s">
        <v>708</v>
      </c>
      <c r="C77" s="24">
        <v>90844</v>
      </c>
      <c r="D77" s="79" t="s">
        <v>790</v>
      </c>
      <c r="E77" s="80" t="s">
        <v>42</v>
      </c>
      <c r="F77" s="214">
        <v>3</v>
      </c>
      <c r="G77" s="26">
        <v>1196.99</v>
      </c>
      <c r="H77" s="179">
        <f>TRUNC(G77+(G77*$I$4),2)</f>
        <v>1511.08</v>
      </c>
      <c r="I77" s="26">
        <f>TRUNC(H77*F77,2)</f>
        <v>4533.24</v>
      </c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</row>
    <row r="78" spans="1:27" ht="14.5" x14ac:dyDescent="0.35">
      <c r="A78" s="33"/>
      <c r="B78" s="33"/>
      <c r="C78" s="33"/>
      <c r="D78" s="34" t="s">
        <v>690</v>
      </c>
      <c r="E78" s="33"/>
      <c r="F78" s="35"/>
      <c r="G78" s="35"/>
      <c r="H78" s="36"/>
      <c r="I78" s="35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</row>
    <row r="79" spans="1:27" ht="42" x14ac:dyDescent="0.35">
      <c r="A79" s="80" t="s">
        <v>276</v>
      </c>
      <c r="B79" s="80" t="s">
        <v>823</v>
      </c>
      <c r="C79" s="24">
        <v>91338</v>
      </c>
      <c r="D79" s="79" t="s">
        <v>791</v>
      </c>
      <c r="E79" s="80" t="s">
        <v>46</v>
      </c>
      <c r="F79" s="214">
        <v>10.34</v>
      </c>
      <c r="G79" s="26">
        <v>901.04</v>
      </c>
      <c r="H79" s="179">
        <f>TRUNC(G79+(G79*$I$4),2)</f>
        <v>1137.47</v>
      </c>
      <c r="I79" s="26">
        <f>TRUNC(H79*F79,2)</f>
        <v>11761.43</v>
      </c>
      <c r="J79" s="180"/>
      <c r="K79" s="180"/>
      <c r="L79" s="180"/>
      <c r="M79" s="180"/>
      <c r="N79" s="180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</row>
    <row r="80" spans="1:27" ht="14.5" x14ac:dyDescent="0.35">
      <c r="A80" s="33"/>
      <c r="B80" s="33"/>
      <c r="C80" s="33"/>
      <c r="D80" s="34" t="s">
        <v>300</v>
      </c>
      <c r="E80" s="33"/>
      <c r="F80" s="35"/>
      <c r="G80" s="35"/>
      <c r="H80" s="36"/>
      <c r="I80" s="35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</row>
    <row r="81" spans="1:27" ht="84" x14ac:dyDescent="0.35">
      <c r="A81" s="80" t="s">
        <v>276</v>
      </c>
      <c r="B81" s="80" t="s">
        <v>824</v>
      </c>
      <c r="C81" s="80">
        <v>94570</v>
      </c>
      <c r="D81" s="79" t="s">
        <v>789</v>
      </c>
      <c r="E81" s="80" t="s">
        <v>29</v>
      </c>
      <c r="F81" s="213">
        <v>24.6</v>
      </c>
      <c r="G81" s="26">
        <v>370.8</v>
      </c>
      <c r="H81" s="179">
        <f>TRUNC(G81+(G81*$I$4),2)</f>
        <v>468.09</v>
      </c>
      <c r="I81" s="26">
        <f>TRUNC(H81*F81,2)</f>
        <v>11515.01</v>
      </c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</row>
    <row r="82" spans="1:27" ht="14.5" x14ac:dyDescent="0.35">
      <c r="A82" s="33"/>
      <c r="B82" s="33"/>
      <c r="C82" s="33"/>
      <c r="D82" s="34" t="s">
        <v>792</v>
      </c>
      <c r="E82" s="33"/>
      <c r="F82" s="35"/>
      <c r="G82" s="35"/>
      <c r="H82" s="36"/>
      <c r="I82" s="35"/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</row>
    <row r="83" spans="1:27" ht="28" x14ac:dyDescent="0.35">
      <c r="A83" s="80" t="s">
        <v>276</v>
      </c>
      <c r="B83" s="80" t="s">
        <v>825</v>
      </c>
      <c r="C83" s="24" t="s">
        <v>772</v>
      </c>
      <c r="D83" s="79" t="s">
        <v>793</v>
      </c>
      <c r="E83" s="80" t="s">
        <v>46</v>
      </c>
      <c r="F83" s="214">
        <v>48.65</v>
      </c>
      <c r="G83" s="26">
        <v>691.68</v>
      </c>
      <c r="H83" s="179">
        <f>TRUNC(G83+(G83*$I$4),2)</f>
        <v>873.17</v>
      </c>
      <c r="I83" s="26">
        <f>TRUNC(H83*F83,2)</f>
        <v>42479.72</v>
      </c>
      <c r="J83" s="180"/>
      <c r="K83" s="180"/>
      <c r="L83" s="180"/>
      <c r="M83" s="180"/>
      <c r="N83" s="180"/>
      <c r="O83" s="180"/>
      <c r="P83" s="180"/>
      <c r="Q83" s="180"/>
      <c r="R83" s="180"/>
      <c r="S83" s="180"/>
      <c r="T83" s="180"/>
      <c r="U83" s="180"/>
      <c r="V83" s="180"/>
      <c r="W83" s="180"/>
      <c r="X83" s="180"/>
      <c r="Y83" s="180"/>
      <c r="Z83" s="180"/>
      <c r="AA83" s="180"/>
    </row>
    <row r="84" spans="1:27" ht="14.5" x14ac:dyDescent="0.35">
      <c r="A84" s="27"/>
      <c r="B84" s="27" t="s">
        <v>285</v>
      </c>
      <c r="C84" s="28"/>
      <c r="D84" s="29" t="s">
        <v>280</v>
      </c>
      <c r="E84" s="28"/>
      <c r="F84" s="30"/>
      <c r="G84" s="30"/>
      <c r="H84" s="31"/>
      <c r="I84" s="30">
        <f>SUM(I85:I91)</f>
        <v>684467.44000000006</v>
      </c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</row>
    <row r="85" spans="1:27" ht="14.5" x14ac:dyDescent="0.35">
      <c r="A85" s="33"/>
      <c r="B85" s="33"/>
      <c r="C85" s="33"/>
      <c r="D85" s="34" t="s">
        <v>337</v>
      </c>
      <c r="E85" s="33"/>
      <c r="F85" s="35"/>
      <c r="G85" s="35"/>
      <c r="H85" s="36"/>
      <c r="I85" s="35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</row>
    <row r="86" spans="1:27" ht="56" x14ac:dyDescent="0.35">
      <c r="A86" s="80" t="s">
        <v>276</v>
      </c>
      <c r="B86" s="80" t="s">
        <v>709</v>
      </c>
      <c r="C86" s="80">
        <v>87765</v>
      </c>
      <c r="D86" s="79" t="s">
        <v>794</v>
      </c>
      <c r="E86" s="24" t="s">
        <v>29</v>
      </c>
      <c r="F86" s="26">
        <v>269.64</v>
      </c>
      <c r="G86" s="26">
        <v>50.6</v>
      </c>
      <c r="H86" s="179">
        <f>TRUNC(G86+(G86*$I$4),2)</f>
        <v>63.87</v>
      </c>
      <c r="I86" s="26">
        <f>TRUNC(H86*F86,2)</f>
        <v>17221.900000000001</v>
      </c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</row>
    <row r="87" spans="1:27" ht="14.5" x14ac:dyDescent="0.35">
      <c r="A87" s="33"/>
      <c r="B87" s="33"/>
      <c r="C87" s="33"/>
      <c r="D87" s="34" t="s">
        <v>884</v>
      </c>
      <c r="E87" s="33"/>
      <c r="F87" s="35"/>
      <c r="G87" s="35"/>
      <c r="H87" s="36"/>
      <c r="I87" s="35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</row>
    <row r="88" spans="1:27" ht="70" x14ac:dyDescent="0.35">
      <c r="A88" s="80" t="s">
        <v>276</v>
      </c>
      <c r="B88" s="80" t="s">
        <v>461</v>
      </c>
      <c r="C88" s="80">
        <v>104162</v>
      </c>
      <c r="D88" s="79" t="s">
        <v>882</v>
      </c>
      <c r="E88" s="24" t="s">
        <v>29</v>
      </c>
      <c r="F88" s="26">
        <v>269.64</v>
      </c>
      <c r="G88" s="26">
        <v>135.93</v>
      </c>
      <c r="H88" s="179">
        <f>TRUNC(G88+(G88*$I$4),2)</f>
        <v>171.59</v>
      </c>
      <c r="I88" s="26">
        <f>TRUNC(H88*F88,2)</f>
        <v>46267.519999999997</v>
      </c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</row>
    <row r="89" spans="1:27" ht="28" x14ac:dyDescent="0.35">
      <c r="A89" s="80" t="s">
        <v>276</v>
      </c>
      <c r="B89" s="80" t="s">
        <v>462</v>
      </c>
      <c r="C89" s="80">
        <v>101741</v>
      </c>
      <c r="D89" s="79" t="s">
        <v>883</v>
      </c>
      <c r="E89" s="24" t="s">
        <v>41</v>
      </c>
      <c r="F89" s="26">
        <v>108.32</v>
      </c>
      <c r="G89" s="26">
        <v>23.13</v>
      </c>
      <c r="H89" s="179">
        <f>TRUNC(G89+(G89*$I$4),2)</f>
        <v>29.19</v>
      </c>
      <c r="I89" s="26">
        <f>TRUNC(H89*F89,2)</f>
        <v>3161.86</v>
      </c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</row>
    <row r="90" spans="1:27" ht="14.5" x14ac:dyDescent="0.35">
      <c r="A90" s="33"/>
      <c r="B90" s="33"/>
      <c r="C90" s="33"/>
      <c r="D90" s="34" t="s">
        <v>885</v>
      </c>
      <c r="E90" s="33"/>
      <c r="F90" s="35"/>
      <c r="G90" s="35"/>
      <c r="H90" s="36"/>
      <c r="I90" s="35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</row>
    <row r="91" spans="1:27" ht="42" x14ac:dyDescent="0.35">
      <c r="A91" s="80" t="s">
        <v>276</v>
      </c>
      <c r="B91" s="80" t="s">
        <v>461</v>
      </c>
      <c r="C91" s="80">
        <v>94995</v>
      </c>
      <c r="D91" s="79" t="s">
        <v>869</v>
      </c>
      <c r="E91" s="24" t="s">
        <v>29</v>
      </c>
      <c r="F91" s="26">
        <v>4186.03</v>
      </c>
      <c r="G91" s="26">
        <v>116.92</v>
      </c>
      <c r="H91" s="179">
        <f>TRUNC(G91+(G91*$I$4),2)</f>
        <v>147.59</v>
      </c>
      <c r="I91" s="26">
        <f>TRUNC(H91*F91,2)</f>
        <v>617816.16</v>
      </c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</row>
    <row r="92" spans="1:27" ht="14.5" x14ac:dyDescent="0.35">
      <c r="A92" s="227"/>
      <c r="B92" s="227" t="s">
        <v>281</v>
      </c>
      <c r="C92" s="227"/>
      <c r="D92" s="228" t="s">
        <v>325</v>
      </c>
      <c r="E92" s="227"/>
      <c r="F92" s="229"/>
      <c r="G92" s="229"/>
      <c r="H92" s="231"/>
      <c r="I92" s="229">
        <f>SUM(I93:I148)</f>
        <v>60305.53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</row>
    <row r="93" spans="1:27" ht="14.5" x14ac:dyDescent="0.35">
      <c r="A93" s="33"/>
      <c r="B93" s="33"/>
      <c r="C93" s="33"/>
      <c r="D93" s="34" t="s">
        <v>365</v>
      </c>
      <c r="E93" s="33"/>
      <c r="F93" s="35"/>
      <c r="G93" s="35"/>
      <c r="H93" s="36"/>
      <c r="I93" s="35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</row>
    <row r="94" spans="1:27" ht="42" x14ac:dyDescent="0.3">
      <c r="A94" s="80" t="s">
        <v>276</v>
      </c>
      <c r="B94" s="80" t="s">
        <v>719</v>
      </c>
      <c r="C94" s="24">
        <v>89987</v>
      </c>
      <c r="D94" s="79" t="s">
        <v>327</v>
      </c>
      <c r="E94" s="24" t="s">
        <v>36</v>
      </c>
      <c r="F94" s="26">
        <v>4</v>
      </c>
      <c r="G94" s="26">
        <v>83.41</v>
      </c>
      <c r="H94" s="179">
        <f t="shared" ref="H94" si="17">TRUNC(G94+(G94*$I$4),2)</f>
        <v>105.29</v>
      </c>
      <c r="I94" s="26">
        <f t="shared" ref="I94" si="18">TRUNC(H94*F94,2)</f>
        <v>421.16</v>
      </c>
    </row>
    <row r="95" spans="1:27" ht="28" x14ac:dyDescent="0.3">
      <c r="A95" s="80" t="s">
        <v>276</v>
      </c>
      <c r="B95" s="80" t="s">
        <v>720</v>
      </c>
      <c r="C95" s="24">
        <v>102607</v>
      </c>
      <c r="D95" s="79" t="s">
        <v>895</v>
      </c>
      <c r="E95" s="24" t="s">
        <v>36</v>
      </c>
      <c r="F95" s="26">
        <v>4</v>
      </c>
      <c r="G95" s="26">
        <v>467.16</v>
      </c>
      <c r="H95" s="179">
        <f t="shared" ref="H95" si="19">TRUNC(G95+(G95*$I$4),2)</f>
        <v>589.74</v>
      </c>
      <c r="I95" s="26">
        <f t="shared" ref="I95" si="20">TRUNC(H95*F95,2)</f>
        <v>2358.96</v>
      </c>
    </row>
    <row r="96" spans="1:27" ht="28" x14ac:dyDescent="0.3">
      <c r="A96" s="80" t="s">
        <v>276</v>
      </c>
      <c r="B96" s="80" t="s">
        <v>721</v>
      </c>
      <c r="C96" s="24">
        <v>102603</v>
      </c>
      <c r="D96" s="79" t="s">
        <v>774</v>
      </c>
      <c r="E96" s="24" t="s">
        <v>36</v>
      </c>
      <c r="F96" s="26">
        <v>7</v>
      </c>
      <c r="G96" s="26">
        <v>9.82</v>
      </c>
      <c r="H96" s="179">
        <f t="shared" ref="H96" si="21">TRUNC(G96+(G96*$I$4),2)</f>
        <v>12.39</v>
      </c>
      <c r="I96" s="26">
        <f t="shared" ref="I96" si="22">TRUNC(H96*F96,2)</f>
        <v>86.73</v>
      </c>
    </row>
    <row r="97" spans="1:9" ht="42" x14ac:dyDescent="0.3">
      <c r="A97" s="80" t="s">
        <v>276</v>
      </c>
      <c r="B97" s="80" t="s">
        <v>826</v>
      </c>
      <c r="C97" s="24">
        <v>94703</v>
      </c>
      <c r="D97" s="79" t="s">
        <v>775</v>
      </c>
      <c r="E97" s="24" t="s">
        <v>36</v>
      </c>
      <c r="F97" s="26">
        <v>7</v>
      </c>
      <c r="G97" s="26">
        <v>18.850000000000001</v>
      </c>
      <c r="H97" s="179">
        <f t="shared" ref="H97" si="23">TRUNC(G97+(G97*$I$4),2)</f>
        <v>23.79</v>
      </c>
      <c r="I97" s="26">
        <f t="shared" ref="I97" si="24">TRUNC(H97*F97,2)</f>
        <v>166.53</v>
      </c>
    </row>
    <row r="98" spans="1:9" ht="32.5" customHeight="1" x14ac:dyDescent="0.3">
      <c r="A98" s="80" t="s">
        <v>276</v>
      </c>
      <c r="B98" s="80" t="s">
        <v>722</v>
      </c>
      <c r="C98" s="24">
        <v>94797</v>
      </c>
      <c r="D98" s="79" t="s">
        <v>776</v>
      </c>
      <c r="E98" s="24" t="s">
        <v>36</v>
      </c>
      <c r="F98" s="26">
        <v>3</v>
      </c>
      <c r="G98" s="26">
        <v>87.48</v>
      </c>
      <c r="H98" s="179">
        <f t="shared" ref="H98" si="25">TRUNC(G98+(G98*$I$4),2)</f>
        <v>110.43</v>
      </c>
      <c r="I98" s="26">
        <f t="shared" ref="I98" si="26">TRUNC(H98*F98,2)</f>
        <v>331.29</v>
      </c>
    </row>
    <row r="99" spans="1:9" x14ac:dyDescent="0.3">
      <c r="A99" s="33"/>
      <c r="B99" s="33"/>
      <c r="C99" s="33"/>
      <c r="D99" s="34" t="s">
        <v>367</v>
      </c>
      <c r="E99" s="33"/>
      <c r="F99" s="35"/>
      <c r="G99" s="35"/>
      <c r="H99" s="36"/>
      <c r="I99" s="35"/>
    </row>
    <row r="100" spans="1:9" ht="42" x14ac:dyDescent="0.3">
      <c r="A100" s="80" t="s">
        <v>276</v>
      </c>
      <c r="B100" s="80" t="s">
        <v>723</v>
      </c>
      <c r="C100" s="24">
        <v>89987</v>
      </c>
      <c r="D100" s="79" t="s">
        <v>327</v>
      </c>
      <c r="E100" s="24" t="s">
        <v>36</v>
      </c>
      <c r="F100" s="26">
        <v>16</v>
      </c>
      <c r="G100" s="26">
        <v>87.74</v>
      </c>
      <c r="H100" s="179">
        <f t="shared" ref="H100:H108" si="27">TRUNC(G100+(G100*$I$4),2)</f>
        <v>110.76</v>
      </c>
      <c r="I100" s="26">
        <f t="shared" ref="I100:I108" si="28">TRUNC(H100*F100,2)</f>
        <v>1772.16</v>
      </c>
    </row>
    <row r="101" spans="1:9" ht="42" x14ac:dyDescent="0.3">
      <c r="A101" s="80" t="s">
        <v>276</v>
      </c>
      <c r="B101" s="80" t="s">
        <v>827</v>
      </c>
      <c r="C101" s="24">
        <v>89985</v>
      </c>
      <c r="D101" s="79" t="s">
        <v>381</v>
      </c>
      <c r="E101" s="24" t="s">
        <v>36</v>
      </c>
      <c r="F101" s="26">
        <v>6</v>
      </c>
      <c r="G101" s="26">
        <v>83.36</v>
      </c>
      <c r="H101" s="179">
        <f>TRUNC(G101+(G101*$I$4),2)</f>
        <v>105.23</v>
      </c>
      <c r="I101" s="26">
        <f>TRUNC(H101*F101,2)</f>
        <v>631.38</v>
      </c>
    </row>
    <row r="102" spans="1:9" ht="42" x14ac:dyDescent="0.3">
      <c r="A102" s="80" t="s">
        <v>276</v>
      </c>
      <c r="B102" s="80" t="s">
        <v>724</v>
      </c>
      <c r="C102" s="24">
        <v>89362</v>
      </c>
      <c r="D102" s="25" t="s">
        <v>326</v>
      </c>
      <c r="E102" s="24" t="s">
        <v>36</v>
      </c>
      <c r="F102" s="26">
        <v>44</v>
      </c>
      <c r="G102" s="26">
        <v>9.33</v>
      </c>
      <c r="H102" s="179">
        <f t="shared" si="27"/>
        <v>11.77</v>
      </c>
      <c r="I102" s="26">
        <f t="shared" si="28"/>
        <v>517.88</v>
      </c>
    </row>
    <row r="103" spans="1:9" ht="42" x14ac:dyDescent="0.3">
      <c r="A103" s="80" t="s">
        <v>276</v>
      </c>
      <c r="B103" s="80" t="s">
        <v>725</v>
      </c>
      <c r="C103" s="24">
        <v>89364</v>
      </c>
      <c r="D103" s="25" t="s">
        <v>777</v>
      </c>
      <c r="E103" s="24" t="s">
        <v>41</v>
      </c>
      <c r="F103" s="26">
        <v>6</v>
      </c>
      <c r="G103" s="26">
        <v>11.49</v>
      </c>
      <c r="H103" s="179">
        <f t="shared" ref="H103" si="29">TRUNC(G103+(G103*$I$4),2)</f>
        <v>14.5</v>
      </c>
      <c r="I103" s="26">
        <f t="shared" ref="I103" si="30">TRUNC(H103*F103,2)</f>
        <v>87</v>
      </c>
    </row>
    <row r="104" spans="1:9" ht="42" x14ac:dyDescent="0.3">
      <c r="A104" s="80" t="s">
        <v>276</v>
      </c>
      <c r="B104" s="80" t="s">
        <v>726</v>
      </c>
      <c r="C104" s="24">
        <v>90443</v>
      </c>
      <c r="D104" s="25" t="s">
        <v>382</v>
      </c>
      <c r="E104" s="24" t="s">
        <v>41</v>
      </c>
      <c r="F104" s="26">
        <v>48.5</v>
      </c>
      <c r="G104" s="26">
        <v>7.62</v>
      </c>
      <c r="H104" s="179">
        <f t="shared" si="27"/>
        <v>9.61</v>
      </c>
      <c r="I104" s="26">
        <f t="shared" si="28"/>
        <v>466.08</v>
      </c>
    </row>
    <row r="105" spans="1:9" ht="42" x14ac:dyDescent="0.3">
      <c r="A105" s="80" t="s">
        <v>276</v>
      </c>
      <c r="B105" s="80" t="s">
        <v>727</v>
      </c>
      <c r="C105" s="24">
        <v>89356</v>
      </c>
      <c r="D105" s="25" t="s">
        <v>366</v>
      </c>
      <c r="E105" s="24" t="s">
        <v>41</v>
      </c>
      <c r="F105" s="26">
        <v>96.35</v>
      </c>
      <c r="G105" s="26">
        <v>22.68</v>
      </c>
      <c r="H105" s="179">
        <f t="shared" si="27"/>
        <v>28.63</v>
      </c>
      <c r="I105" s="26">
        <f t="shared" si="28"/>
        <v>2758.5</v>
      </c>
    </row>
    <row r="106" spans="1:9" ht="28" x14ac:dyDescent="0.3">
      <c r="A106" s="80" t="s">
        <v>276</v>
      </c>
      <c r="B106" s="80" t="s">
        <v>728</v>
      </c>
      <c r="C106" s="24">
        <v>89395</v>
      </c>
      <c r="D106" s="25" t="s">
        <v>368</v>
      </c>
      <c r="E106" s="24" t="s">
        <v>36</v>
      </c>
      <c r="F106" s="26">
        <v>26</v>
      </c>
      <c r="G106" s="26">
        <v>12.88</v>
      </c>
      <c r="H106" s="179">
        <f t="shared" si="27"/>
        <v>16.25</v>
      </c>
      <c r="I106" s="26">
        <f t="shared" si="28"/>
        <v>422.5</v>
      </c>
    </row>
    <row r="107" spans="1:9" ht="42" x14ac:dyDescent="0.3">
      <c r="A107" s="80" t="s">
        <v>276</v>
      </c>
      <c r="B107" s="80" t="s">
        <v>729</v>
      </c>
      <c r="C107" s="24">
        <v>89627</v>
      </c>
      <c r="D107" s="25" t="s">
        <v>369</v>
      </c>
      <c r="E107" s="24" t="s">
        <v>36</v>
      </c>
      <c r="F107" s="26">
        <v>6</v>
      </c>
      <c r="G107" s="26">
        <v>19.46</v>
      </c>
      <c r="H107" s="179">
        <f t="shared" si="27"/>
        <v>24.56</v>
      </c>
      <c r="I107" s="26">
        <f t="shared" si="28"/>
        <v>147.36000000000001</v>
      </c>
    </row>
    <row r="108" spans="1:9" ht="42" x14ac:dyDescent="0.3">
      <c r="A108" s="80" t="s">
        <v>276</v>
      </c>
      <c r="B108" s="80" t="s">
        <v>730</v>
      </c>
      <c r="C108" s="24">
        <v>89366</v>
      </c>
      <c r="D108" s="25" t="s">
        <v>370</v>
      </c>
      <c r="E108" s="24" t="s">
        <v>36</v>
      </c>
      <c r="F108" s="26">
        <v>6</v>
      </c>
      <c r="G108" s="26">
        <v>15.67</v>
      </c>
      <c r="H108" s="179">
        <f t="shared" si="27"/>
        <v>19.78</v>
      </c>
      <c r="I108" s="26">
        <f t="shared" si="28"/>
        <v>118.68</v>
      </c>
    </row>
    <row r="109" spans="1:9" ht="42" x14ac:dyDescent="0.3">
      <c r="A109" s="80" t="s">
        <v>276</v>
      </c>
      <c r="B109" s="80" t="s">
        <v>731</v>
      </c>
      <c r="C109" s="24">
        <v>90373</v>
      </c>
      <c r="D109" s="25" t="s">
        <v>778</v>
      </c>
      <c r="E109" s="24" t="s">
        <v>36</v>
      </c>
      <c r="F109" s="26">
        <v>6</v>
      </c>
      <c r="G109" s="26">
        <v>12.58</v>
      </c>
      <c r="H109" s="179">
        <f t="shared" ref="H109" si="31">TRUNC(G109+(G109*$I$4),2)</f>
        <v>15.88</v>
      </c>
      <c r="I109" s="26">
        <f t="shared" ref="I109" si="32">TRUNC(H109*F109,2)</f>
        <v>95.28</v>
      </c>
    </row>
    <row r="110" spans="1:9" x14ac:dyDescent="0.3">
      <c r="A110" s="33"/>
      <c r="B110" s="33"/>
      <c r="C110" s="33"/>
      <c r="D110" s="34" t="s">
        <v>371</v>
      </c>
      <c r="E110" s="33"/>
      <c r="F110" s="35"/>
      <c r="G110" s="35"/>
      <c r="H110" s="36"/>
      <c r="I110" s="35"/>
    </row>
    <row r="111" spans="1:9" x14ac:dyDescent="0.3">
      <c r="A111" s="238"/>
      <c r="B111" s="238"/>
      <c r="C111" s="238"/>
      <c r="D111" s="239" t="s">
        <v>328</v>
      </c>
      <c r="E111" s="238"/>
      <c r="F111" s="240"/>
      <c r="G111" s="240"/>
      <c r="H111" s="241"/>
      <c r="I111" s="240"/>
    </row>
    <row r="112" spans="1:9" ht="28" x14ac:dyDescent="0.3">
      <c r="A112" s="80" t="s">
        <v>276</v>
      </c>
      <c r="B112" s="80" t="s">
        <v>732</v>
      </c>
      <c r="C112" s="24">
        <v>86905</v>
      </c>
      <c r="D112" s="25" t="s">
        <v>779</v>
      </c>
      <c r="E112" s="24" t="s">
        <v>36</v>
      </c>
      <c r="F112" s="26">
        <v>6</v>
      </c>
      <c r="G112" s="26">
        <v>493.1</v>
      </c>
      <c r="H112" s="179">
        <f t="shared" ref="H112:H117" si="33">TRUNC(G112+(G112*$I$4),2)</f>
        <v>622.48</v>
      </c>
      <c r="I112" s="26">
        <f t="shared" ref="I112:I117" si="34">TRUNC(H112*F112,2)</f>
        <v>3734.88</v>
      </c>
    </row>
    <row r="113" spans="1:9" ht="28" x14ac:dyDescent="0.3">
      <c r="A113" s="80" t="s">
        <v>276</v>
      </c>
      <c r="B113" s="80" t="s">
        <v>733</v>
      </c>
      <c r="C113" s="24">
        <v>86895</v>
      </c>
      <c r="D113" s="25" t="s">
        <v>780</v>
      </c>
      <c r="E113" s="24" t="s">
        <v>36</v>
      </c>
      <c r="F113" s="26">
        <v>6</v>
      </c>
      <c r="G113" s="26">
        <v>361.78</v>
      </c>
      <c r="H113" s="179">
        <f t="shared" si="33"/>
        <v>456.71</v>
      </c>
      <c r="I113" s="26">
        <f t="shared" si="34"/>
        <v>2740.26</v>
      </c>
    </row>
    <row r="114" spans="1:9" ht="70" x14ac:dyDescent="0.3">
      <c r="A114" s="80" t="s">
        <v>276</v>
      </c>
      <c r="B114" s="80" t="s">
        <v>734</v>
      </c>
      <c r="C114" s="24">
        <v>86943</v>
      </c>
      <c r="D114" s="25" t="s">
        <v>781</v>
      </c>
      <c r="E114" s="24" t="s">
        <v>36</v>
      </c>
      <c r="F114" s="26">
        <v>2</v>
      </c>
      <c r="G114" s="26">
        <v>279.14999999999998</v>
      </c>
      <c r="H114" s="179">
        <f t="shared" si="33"/>
        <v>352.39</v>
      </c>
      <c r="I114" s="26">
        <f t="shared" si="34"/>
        <v>704.78</v>
      </c>
    </row>
    <row r="115" spans="1:9" ht="56" x14ac:dyDescent="0.3">
      <c r="A115" s="80" t="s">
        <v>276</v>
      </c>
      <c r="B115" s="80" t="s">
        <v>735</v>
      </c>
      <c r="C115" s="24">
        <v>86932</v>
      </c>
      <c r="D115" s="25" t="s">
        <v>372</v>
      </c>
      <c r="E115" s="24" t="s">
        <v>36</v>
      </c>
      <c r="F115" s="26">
        <v>7</v>
      </c>
      <c r="G115" s="26">
        <v>545.91999999999996</v>
      </c>
      <c r="H115" s="179">
        <f t="shared" si="33"/>
        <v>689.16</v>
      </c>
      <c r="I115" s="26">
        <f t="shared" si="34"/>
        <v>4824.12</v>
      </c>
    </row>
    <row r="116" spans="1:9" ht="28" x14ac:dyDescent="0.3">
      <c r="A116" s="80" t="s">
        <v>276</v>
      </c>
      <c r="B116" s="80" t="s">
        <v>735</v>
      </c>
      <c r="C116" s="24">
        <v>100858</v>
      </c>
      <c r="D116" s="25" t="s">
        <v>896</v>
      </c>
      <c r="E116" s="24" t="s">
        <v>36</v>
      </c>
      <c r="F116" s="26">
        <v>2</v>
      </c>
      <c r="G116" s="26">
        <v>607.16</v>
      </c>
      <c r="H116" s="179">
        <f t="shared" si="33"/>
        <v>766.47</v>
      </c>
      <c r="I116" s="26">
        <f t="shared" si="34"/>
        <v>1532.94</v>
      </c>
    </row>
    <row r="117" spans="1:9" ht="28" x14ac:dyDescent="0.3">
      <c r="A117" s="80" t="s">
        <v>276</v>
      </c>
      <c r="B117" s="80" t="s">
        <v>736</v>
      </c>
      <c r="C117" s="24">
        <v>100860</v>
      </c>
      <c r="D117" s="25" t="s">
        <v>692</v>
      </c>
      <c r="E117" s="24" t="s">
        <v>36</v>
      </c>
      <c r="F117" s="26">
        <v>6</v>
      </c>
      <c r="G117" s="26">
        <v>114.82</v>
      </c>
      <c r="H117" s="179">
        <f t="shared" si="33"/>
        <v>144.94</v>
      </c>
      <c r="I117" s="26">
        <f t="shared" si="34"/>
        <v>869.64</v>
      </c>
    </row>
    <row r="118" spans="1:9" ht="15" customHeight="1" x14ac:dyDescent="0.3">
      <c r="A118" s="238"/>
      <c r="B118" s="238"/>
      <c r="C118" s="238"/>
      <c r="D118" s="239" t="s">
        <v>693</v>
      </c>
      <c r="E118" s="238"/>
      <c r="F118" s="240"/>
      <c r="G118" s="240"/>
      <c r="H118" s="241"/>
      <c r="I118" s="240"/>
    </row>
    <row r="119" spans="1:9" ht="28" x14ac:dyDescent="0.3">
      <c r="A119" s="80" t="s">
        <v>276</v>
      </c>
      <c r="B119" s="80" t="s">
        <v>737</v>
      </c>
      <c r="C119" s="24">
        <v>86889</v>
      </c>
      <c r="D119" s="25" t="s">
        <v>694</v>
      </c>
      <c r="E119" s="24" t="s">
        <v>36</v>
      </c>
      <c r="F119" s="26">
        <v>2</v>
      </c>
      <c r="G119" s="26">
        <v>759.6</v>
      </c>
      <c r="H119" s="179">
        <f>TRUNC(G119+(G119*$I$4),2)</f>
        <v>958.91</v>
      </c>
      <c r="I119" s="26">
        <f>TRUNC(H119*F119,2)</f>
        <v>1917.82</v>
      </c>
    </row>
    <row r="120" spans="1:9" ht="28" x14ac:dyDescent="0.3">
      <c r="A120" s="80" t="s">
        <v>276</v>
      </c>
      <c r="B120" s="80" t="s">
        <v>738</v>
      </c>
      <c r="C120" s="24">
        <v>86900</v>
      </c>
      <c r="D120" s="25" t="s">
        <v>695</v>
      </c>
      <c r="E120" s="24" t="s">
        <v>36</v>
      </c>
      <c r="F120" s="26">
        <v>1</v>
      </c>
      <c r="G120" s="26">
        <v>242.82</v>
      </c>
      <c r="H120" s="179">
        <f>TRUNC(G120+(G120*$I$4),2)</f>
        <v>306.52999999999997</v>
      </c>
      <c r="I120" s="26">
        <f>TRUNC(H120*F120,2)</f>
        <v>306.52999999999997</v>
      </c>
    </row>
    <row r="121" spans="1:9" ht="42" x14ac:dyDescent="0.3">
      <c r="A121" s="80" t="s">
        <v>276</v>
      </c>
      <c r="B121" s="80" t="s">
        <v>739</v>
      </c>
      <c r="C121" s="24">
        <v>86909</v>
      </c>
      <c r="D121" s="25" t="s">
        <v>696</v>
      </c>
      <c r="E121" s="24" t="s">
        <v>36</v>
      </c>
      <c r="F121" s="26">
        <v>1</v>
      </c>
      <c r="G121" s="26">
        <v>158.29</v>
      </c>
      <c r="H121" s="179">
        <f>TRUNC(G121+(G121*$I$4),2)</f>
        <v>199.82</v>
      </c>
      <c r="I121" s="26">
        <f>TRUNC(H121*F121,2)</f>
        <v>199.82</v>
      </c>
    </row>
    <row r="122" spans="1:9" ht="15" customHeight="1" x14ac:dyDescent="0.3">
      <c r="A122" s="238"/>
      <c r="B122" s="238"/>
      <c r="C122" s="238"/>
      <c r="D122" s="239" t="s">
        <v>697</v>
      </c>
      <c r="E122" s="238"/>
      <c r="F122" s="240"/>
      <c r="G122" s="240"/>
      <c r="H122" s="241"/>
      <c r="I122" s="240"/>
    </row>
    <row r="123" spans="1:9" ht="42" x14ac:dyDescent="0.3">
      <c r="A123" s="80" t="s">
        <v>276</v>
      </c>
      <c r="B123" s="80" t="s">
        <v>740</v>
      </c>
      <c r="C123" s="24">
        <v>86910</v>
      </c>
      <c r="D123" s="25" t="s">
        <v>698</v>
      </c>
      <c r="E123" s="24" t="s">
        <v>36</v>
      </c>
      <c r="F123" s="26">
        <v>5</v>
      </c>
      <c r="G123" s="26">
        <v>156.15</v>
      </c>
      <c r="H123" s="179">
        <f>TRUNC(G123+(G123*$I$4),2)</f>
        <v>197.12</v>
      </c>
      <c r="I123" s="26">
        <f>TRUNC(H123*F123,2)</f>
        <v>985.6</v>
      </c>
    </row>
    <row r="124" spans="1:9" ht="28" x14ac:dyDescent="0.3">
      <c r="A124" s="80" t="s">
        <v>276</v>
      </c>
      <c r="B124" s="80" t="s">
        <v>741</v>
      </c>
      <c r="C124" s="80">
        <v>86876</v>
      </c>
      <c r="D124" s="25" t="s">
        <v>710</v>
      </c>
      <c r="E124" s="24" t="s">
        <v>36</v>
      </c>
      <c r="F124" s="26">
        <v>4</v>
      </c>
      <c r="G124" s="26">
        <v>300.66000000000003</v>
      </c>
      <c r="H124" s="179">
        <f>TRUNC(G124+(G124*$I$4),2)</f>
        <v>379.55</v>
      </c>
      <c r="I124" s="26">
        <f>TRUNC(H124*F124,2)</f>
        <v>1518.2</v>
      </c>
    </row>
    <row r="125" spans="1:9" x14ac:dyDescent="0.3">
      <c r="A125" s="33"/>
      <c r="B125" s="33"/>
      <c r="C125" s="33"/>
      <c r="D125" s="34" t="s">
        <v>373</v>
      </c>
      <c r="E125" s="33"/>
      <c r="F125" s="35"/>
      <c r="G125" s="35"/>
      <c r="H125" s="36"/>
      <c r="I125" s="35"/>
    </row>
    <row r="126" spans="1:9" ht="42" x14ac:dyDescent="0.3">
      <c r="A126" s="80" t="s">
        <v>276</v>
      </c>
      <c r="B126" s="80" t="s">
        <v>742</v>
      </c>
      <c r="C126" s="181">
        <v>97902</v>
      </c>
      <c r="D126" s="182" t="s">
        <v>374</v>
      </c>
      <c r="E126" s="181" t="s">
        <v>36</v>
      </c>
      <c r="F126" s="26">
        <v>8</v>
      </c>
      <c r="G126" s="26">
        <v>582.94000000000005</v>
      </c>
      <c r="H126" s="179">
        <f t="shared" ref="H126:H144" si="35">TRUNC(G126+(G126*$I$4),2)</f>
        <v>735.9</v>
      </c>
      <c r="I126" s="26">
        <f t="shared" ref="I126:I144" si="36">TRUNC(H126*F126,2)</f>
        <v>5887.2</v>
      </c>
    </row>
    <row r="127" spans="1:9" ht="42" x14ac:dyDescent="0.3">
      <c r="A127" s="80" t="s">
        <v>276</v>
      </c>
      <c r="B127" s="80" t="s">
        <v>743</v>
      </c>
      <c r="C127" s="181">
        <v>98102</v>
      </c>
      <c r="D127" s="182" t="s">
        <v>401</v>
      </c>
      <c r="E127" s="181" t="s">
        <v>36</v>
      </c>
      <c r="F127" s="26">
        <v>1</v>
      </c>
      <c r="G127" s="26">
        <v>200.85</v>
      </c>
      <c r="H127" s="179">
        <f>TRUNC(G127+(G127*$I$4),2)</f>
        <v>253.55</v>
      </c>
      <c r="I127" s="26">
        <f>TRUNC(H127*F127,2)</f>
        <v>253.55</v>
      </c>
    </row>
    <row r="128" spans="1:9" ht="56" x14ac:dyDescent="0.3">
      <c r="A128" s="80" t="s">
        <v>276</v>
      </c>
      <c r="B128" s="80" t="s">
        <v>744</v>
      </c>
      <c r="C128" s="181">
        <v>104328</v>
      </c>
      <c r="D128" s="242" t="s">
        <v>375</v>
      </c>
      <c r="E128" s="181" t="s">
        <v>36</v>
      </c>
      <c r="F128" s="26">
        <v>6</v>
      </c>
      <c r="G128" s="26">
        <v>71.47</v>
      </c>
      <c r="H128" s="179">
        <f t="shared" si="35"/>
        <v>90.22</v>
      </c>
      <c r="I128" s="26">
        <f t="shared" si="36"/>
        <v>541.32000000000005</v>
      </c>
    </row>
    <row r="129" spans="1:9" ht="56" x14ac:dyDescent="0.3">
      <c r="A129" s="80" t="s">
        <v>276</v>
      </c>
      <c r="B129" s="80" t="s">
        <v>745</v>
      </c>
      <c r="C129" s="181">
        <v>89748</v>
      </c>
      <c r="D129" s="242" t="s">
        <v>782</v>
      </c>
      <c r="E129" s="181" t="s">
        <v>36</v>
      </c>
      <c r="F129" s="26">
        <v>4</v>
      </c>
      <c r="G129" s="26">
        <v>43.31</v>
      </c>
      <c r="H129" s="179">
        <f t="shared" si="35"/>
        <v>54.67</v>
      </c>
      <c r="I129" s="26">
        <f t="shared" si="36"/>
        <v>218.68</v>
      </c>
    </row>
    <row r="130" spans="1:9" ht="56" x14ac:dyDescent="0.3">
      <c r="A130" s="80" t="s">
        <v>276</v>
      </c>
      <c r="B130" s="80" t="s">
        <v>746</v>
      </c>
      <c r="C130" s="181">
        <v>89728</v>
      </c>
      <c r="D130" s="242" t="s">
        <v>376</v>
      </c>
      <c r="E130" s="181" t="s">
        <v>36</v>
      </c>
      <c r="F130" s="26">
        <v>11</v>
      </c>
      <c r="G130" s="26">
        <v>13.44</v>
      </c>
      <c r="H130" s="179">
        <f t="shared" si="35"/>
        <v>16.96</v>
      </c>
      <c r="I130" s="26">
        <f t="shared" si="36"/>
        <v>186.56</v>
      </c>
    </row>
    <row r="131" spans="1:9" ht="42" x14ac:dyDescent="0.3">
      <c r="A131" s="80" t="s">
        <v>276</v>
      </c>
      <c r="B131" s="80" t="s">
        <v>747</v>
      </c>
      <c r="C131" s="181">
        <v>89732</v>
      </c>
      <c r="D131" s="242" t="s">
        <v>711</v>
      </c>
      <c r="E131" s="181" t="s">
        <v>36</v>
      </c>
      <c r="F131" s="26">
        <v>1</v>
      </c>
      <c r="G131" s="26">
        <v>15.55</v>
      </c>
      <c r="H131" s="179">
        <f t="shared" si="35"/>
        <v>19.63</v>
      </c>
      <c r="I131" s="26">
        <f t="shared" si="36"/>
        <v>19.63</v>
      </c>
    </row>
    <row r="132" spans="1:9" ht="42" x14ac:dyDescent="0.3">
      <c r="A132" s="80" t="s">
        <v>276</v>
      </c>
      <c r="B132" s="80" t="s">
        <v>748</v>
      </c>
      <c r="C132" s="181">
        <v>89744</v>
      </c>
      <c r="D132" s="242" t="s">
        <v>377</v>
      </c>
      <c r="E132" s="181" t="s">
        <v>36</v>
      </c>
      <c r="F132" s="26">
        <v>1</v>
      </c>
      <c r="G132" s="26">
        <v>27.61</v>
      </c>
      <c r="H132" s="179">
        <f t="shared" si="35"/>
        <v>34.85</v>
      </c>
      <c r="I132" s="26">
        <f t="shared" si="36"/>
        <v>34.85</v>
      </c>
    </row>
    <row r="133" spans="1:9" ht="56" customHeight="1" x14ac:dyDescent="0.3">
      <c r="A133" s="80" t="s">
        <v>276</v>
      </c>
      <c r="B133" s="80" t="s">
        <v>748</v>
      </c>
      <c r="C133" s="181">
        <v>89739</v>
      </c>
      <c r="D133" s="242" t="s">
        <v>900</v>
      </c>
      <c r="E133" s="181" t="s">
        <v>36</v>
      </c>
      <c r="F133" s="26">
        <v>1</v>
      </c>
      <c r="G133" s="26">
        <v>23.59</v>
      </c>
      <c r="H133" s="179">
        <f t="shared" ref="H133" si="37">TRUNC(G133+(G133*$I$4),2)</f>
        <v>29.78</v>
      </c>
      <c r="I133" s="26">
        <f t="shared" ref="I133" si="38">TRUNC(H133*F133,2)</f>
        <v>29.78</v>
      </c>
    </row>
    <row r="134" spans="1:9" ht="42" x14ac:dyDescent="0.3">
      <c r="A134" s="80" t="s">
        <v>276</v>
      </c>
      <c r="B134" s="80" t="s">
        <v>749</v>
      </c>
      <c r="C134" s="181">
        <v>89731</v>
      </c>
      <c r="D134" s="242" t="s">
        <v>378</v>
      </c>
      <c r="E134" s="181" t="s">
        <v>36</v>
      </c>
      <c r="F134" s="26">
        <v>4</v>
      </c>
      <c r="G134" s="26">
        <v>14.79</v>
      </c>
      <c r="H134" s="179">
        <f t="shared" si="35"/>
        <v>18.670000000000002</v>
      </c>
      <c r="I134" s="26">
        <f t="shared" si="36"/>
        <v>74.680000000000007</v>
      </c>
    </row>
    <row r="135" spans="1:9" ht="42" x14ac:dyDescent="0.3">
      <c r="A135" s="80" t="s">
        <v>276</v>
      </c>
      <c r="B135" s="80" t="s">
        <v>828</v>
      </c>
      <c r="C135" s="181">
        <v>89724</v>
      </c>
      <c r="D135" s="242" t="s">
        <v>331</v>
      </c>
      <c r="E135" s="181" t="s">
        <v>36</v>
      </c>
      <c r="F135" s="26">
        <v>11</v>
      </c>
      <c r="G135" s="26">
        <v>10.39</v>
      </c>
      <c r="H135" s="179">
        <f t="shared" si="35"/>
        <v>13.11</v>
      </c>
      <c r="I135" s="26">
        <f t="shared" si="36"/>
        <v>144.21</v>
      </c>
    </row>
    <row r="136" spans="1:9" ht="42" x14ac:dyDescent="0.3">
      <c r="A136" s="80" t="s">
        <v>276</v>
      </c>
      <c r="B136" s="80" t="s">
        <v>829</v>
      </c>
      <c r="C136" s="181">
        <v>89746</v>
      </c>
      <c r="D136" s="242" t="s">
        <v>785</v>
      </c>
      <c r="E136" s="181" t="s">
        <v>36</v>
      </c>
      <c r="F136" s="26">
        <v>2</v>
      </c>
      <c r="G136" s="26">
        <v>28.48</v>
      </c>
      <c r="H136" s="179">
        <f t="shared" ref="H136" si="39">TRUNC(G136+(G136*$I$4),2)</f>
        <v>35.950000000000003</v>
      </c>
      <c r="I136" s="26">
        <f t="shared" ref="I136" si="40">TRUNC(H136*F136,2)</f>
        <v>71.900000000000006</v>
      </c>
    </row>
    <row r="137" spans="1:9" ht="56" customHeight="1" x14ac:dyDescent="0.3">
      <c r="A137" s="80" t="s">
        <v>276</v>
      </c>
      <c r="B137" s="80" t="s">
        <v>830</v>
      </c>
      <c r="C137" s="181">
        <v>89726</v>
      </c>
      <c r="D137" s="242" t="s">
        <v>786</v>
      </c>
      <c r="E137" s="181" t="s">
        <v>36</v>
      </c>
      <c r="F137" s="26">
        <v>8</v>
      </c>
      <c r="G137" s="26">
        <v>10.63</v>
      </c>
      <c r="H137" s="179">
        <f t="shared" ref="H137" si="41">TRUNC(G137+(G137*$I$4),2)</f>
        <v>13.41</v>
      </c>
      <c r="I137" s="26">
        <f t="shared" ref="I137" si="42">TRUNC(H137*F137,2)</f>
        <v>107.28</v>
      </c>
    </row>
    <row r="138" spans="1:9" ht="56" x14ac:dyDescent="0.3">
      <c r="A138" s="80" t="s">
        <v>276</v>
      </c>
      <c r="B138" s="80" t="s">
        <v>831</v>
      </c>
      <c r="C138" s="80">
        <v>89797</v>
      </c>
      <c r="D138" s="79" t="s">
        <v>787</v>
      </c>
      <c r="E138" s="24" t="s">
        <v>36</v>
      </c>
      <c r="F138" s="26">
        <v>3</v>
      </c>
      <c r="G138" s="26">
        <v>51.96</v>
      </c>
      <c r="H138" s="179">
        <f t="shared" si="35"/>
        <v>65.59</v>
      </c>
      <c r="I138" s="26">
        <f t="shared" si="36"/>
        <v>196.77</v>
      </c>
    </row>
    <row r="139" spans="1:9" ht="70" x14ac:dyDescent="0.3">
      <c r="A139" s="80" t="s">
        <v>276</v>
      </c>
      <c r="B139" s="80" t="s">
        <v>832</v>
      </c>
      <c r="C139" s="80">
        <v>89783</v>
      </c>
      <c r="D139" s="79" t="s">
        <v>898</v>
      </c>
      <c r="E139" s="24" t="s">
        <v>36</v>
      </c>
      <c r="F139" s="26">
        <v>4</v>
      </c>
      <c r="G139" s="26">
        <v>19.95</v>
      </c>
      <c r="H139" s="179">
        <f t="shared" ref="H139" si="43">TRUNC(G139+(G139*$I$4),2)</f>
        <v>25.18</v>
      </c>
      <c r="I139" s="26">
        <f t="shared" ref="I139" si="44">TRUNC(H139*F139,2)</f>
        <v>100.72</v>
      </c>
    </row>
    <row r="140" spans="1:9" ht="56" x14ac:dyDescent="0.3">
      <c r="A140" s="80" t="s">
        <v>276</v>
      </c>
      <c r="B140" s="80" t="s">
        <v>832</v>
      </c>
      <c r="C140" s="80">
        <v>104347</v>
      </c>
      <c r="D140" s="79" t="s">
        <v>899</v>
      </c>
      <c r="E140" s="24" t="s">
        <v>36</v>
      </c>
      <c r="F140" s="26">
        <v>1</v>
      </c>
      <c r="G140" s="26">
        <v>48.31</v>
      </c>
      <c r="H140" s="179">
        <f t="shared" ref="H140" si="45">TRUNC(G140+(G140*$I$4),2)</f>
        <v>60.98</v>
      </c>
      <c r="I140" s="26">
        <f t="shared" ref="I140" si="46">TRUNC(H140*F140,2)</f>
        <v>60.98</v>
      </c>
    </row>
    <row r="141" spans="1:9" ht="42" x14ac:dyDescent="0.3">
      <c r="A141" s="80" t="s">
        <v>276</v>
      </c>
      <c r="B141" s="80" t="s">
        <v>833</v>
      </c>
      <c r="C141" s="181">
        <v>89714</v>
      </c>
      <c r="D141" s="182" t="s">
        <v>380</v>
      </c>
      <c r="E141" s="181" t="s">
        <v>41</v>
      </c>
      <c r="F141" s="26">
        <v>55.1</v>
      </c>
      <c r="G141" s="26">
        <v>37.89</v>
      </c>
      <c r="H141" s="179">
        <f t="shared" si="35"/>
        <v>47.83</v>
      </c>
      <c r="I141" s="26">
        <f t="shared" si="36"/>
        <v>2635.43</v>
      </c>
    </row>
    <row r="142" spans="1:9" ht="42" x14ac:dyDescent="0.3">
      <c r="A142" s="80" t="s">
        <v>276</v>
      </c>
      <c r="B142" s="80" t="s">
        <v>834</v>
      </c>
      <c r="C142" s="181">
        <v>89711</v>
      </c>
      <c r="D142" s="242" t="s">
        <v>330</v>
      </c>
      <c r="E142" s="181" t="s">
        <v>41</v>
      </c>
      <c r="F142" s="26">
        <v>24.3</v>
      </c>
      <c r="G142" s="26">
        <v>21.33</v>
      </c>
      <c r="H142" s="179">
        <f t="shared" si="35"/>
        <v>26.92</v>
      </c>
      <c r="I142" s="26">
        <f t="shared" si="36"/>
        <v>654.15</v>
      </c>
    </row>
    <row r="143" spans="1:9" ht="42" x14ac:dyDescent="0.3">
      <c r="A143" s="80" t="s">
        <v>276</v>
      </c>
      <c r="B143" s="80" t="s">
        <v>835</v>
      </c>
      <c r="C143" s="181">
        <v>89798</v>
      </c>
      <c r="D143" s="182" t="s">
        <v>329</v>
      </c>
      <c r="E143" s="181" t="s">
        <v>41</v>
      </c>
      <c r="F143" s="26">
        <v>3.3</v>
      </c>
      <c r="G143" s="26">
        <v>13.9</v>
      </c>
      <c r="H143" s="179">
        <f t="shared" ref="H143" si="47">TRUNC(G143+(G143*$I$4),2)</f>
        <v>17.54</v>
      </c>
      <c r="I143" s="26">
        <f t="shared" ref="I143" si="48">TRUNC(H143*F143,2)</f>
        <v>57.88</v>
      </c>
    </row>
    <row r="144" spans="1:9" ht="42" x14ac:dyDescent="0.3">
      <c r="A144" s="80" t="s">
        <v>276</v>
      </c>
      <c r="B144" s="80" t="s">
        <v>835</v>
      </c>
      <c r="C144" s="181">
        <v>89713</v>
      </c>
      <c r="D144" s="182" t="s">
        <v>897</v>
      </c>
      <c r="E144" s="181" t="s">
        <v>41</v>
      </c>
      <c r="F144" s="26">
        <v>1.2</v>
      </c>
      <c r="G144" s="26">
        <v>33.979999999999997</v>
      </c>
      <c r="H144" s="179">
        <f t="shared" si="35"/>
        <v>42.89</v>
      </c>
      <c r="I144" s="26">
        <f t="shared" si="36"/>
        <v>51.46</v>
      </c>
    </row>
    <row r="145" spans="1:9" x14ac:dyDescent="0.3">
      <c r="A145" s="243"/>
      <c r="B145" s="243"/>
      <c r="C145" s="243"/>
      <c r="D145" s="244" t="s">
        <v>399</v>
      </c>
      <c r="E145" s="243"/>
      <c r="F145" s="245"/>
      <c r="G145" s="245"/>
      <c r="H145" s="246"/>
      <c r="I145" s="245"/>
    </row>
    <row r="146" spans="1:9" ht="42" x14ac:dyDescent="0.3">
      <c r="A146" s="80" t="s">
        <v>276</v>
      </c>
      <c r="B146" s="80" t="s">
        <v>836</v>
      </c>
      <c r="C146" s="181">
        <v>98067</v>
      </c>
      <c r="D146" s="182" t="s">
        <v>783</v>
      </c>
      <c r="E146" s="181" t="s">
        <v>36</v>
      </c>
      <c r="F146" s="26">
        <v>1</v>
      </c>
      <c r="G146" s="26">
        <v>6455.11</v>
      </c>
      <c r="H146" s="179">
        <f>TRUNC(G146+(G146*$I$4),2)</f>
        <v>8148.93</v>
      </c>
      <c r="I146" s="26">
        <f>TRUNC(H146*F146,2)</f>
        <v>8148.93</v>
      </c>
    </row>
    <row r="147" spans="1:9" ht="42" x14ac:dyDescent="0.3">
      <c r="A147" s="80" t="s">
        <v>276</v>
      </c>
      <c r="B147" s="80" t="s">
        <v>837</v>
      </c>
      <c r="C147" s="181">
        <v>98089</v>
      </c>
      <c r="D147" s="182" t="s">
        <v>784</v>
      </c>
      <c r="E147" s="181" t="s">
        <v>36</v>
      </c>
      <c r="F147" s="26">
        <v>1</v>
      </c>
      <c r="G147" s="26">
        <v>5411.14</v>
      </c>
      <c r="H147" s="179">
        <f>TRUNC(G147+(G147*$I$4),2)</f>
        <v>6831.02</v>
      </c>
      <c r="I147" s="26">
        <f>TRUNC(H147*F147,2)</f>
        <v>6831.02</v>
      </c>
    </row>
    <row r="148" spans="1:9" ht="56" x14ac:dyDescent="0.3">
      <c r="A148" s="80" t="s">
        <v>276</v>
      </c>
      <c r="B148" s="80" t="s">
        <v>838</v>
      </c>
      <c r="C148" s="181">
        <v>98062</v>
      </c>
      <c r="D148" s="182" t="s">
        <v>400</v>
      </c>
      <c r="E148" s="181" t="s">
        <v>36</v>
      </c>
      <c r="F148" s="26">
        <v>1</v>
      </c>
      <c r="G148" s="26">
        <v>3392.33</v>
      </c>
      <c r="H148" s="179">
        <f>TRUNC(G148+(G148*$I$4),2)</f>
        <v>4282.47</v>
      </c>
      <c r="I148" s="26">
        <f>TRUNC(H148*F148,2)</f>
        <v>4282.47</v>
      </c>
    </row>
    <row r="149" spans="1:9" x14ac:dyDescent="0.3">
      <c r="A149" s="27"/>
      <c r="B149" s="27" t="s">
        <v>319</v>
      </c>
      <c r="C149" s="28"/>
      <c r="D149" s="29" t="s">
        <v>359</v>
      </c>
      <c r="E149" s="28"/>
      <c r="F149" s="30"/>
      <c r="G149" s="30"/>
      <c r="H149" s="31"/>
      <c r="I149" s="30">
        <f>SUM(I151:I188)</f>
        <v>111064.31999999996</v>
      </c>
    </row>
    <row r="150" spans="1:9" x14ac:dyDescent="0.3">
      <c r="A150" s="243"/>
      <c r="B150" s="243"/>
      <c r="C150" s="243"/>
      <c r="D150" s="244" t="s">
        <v>889</v>
      </c>
      <c r="E150" s="243"/>
      <c r="F150" s="245"/>
      <c r="G150" s="245"/>
      <c r="H150" s="246"/>
      <c r="I150" s="245"/>
    </row>
    <row r="151" spans="1:9" ht="42" x14ac:dyDescent="0.3">
      <c r="A151" s="80" t="s">
        <v>108</v>
      </c>
      <c r="B151" s="80" t="s">
        <v>750</v>
      </c>
      <c r="C151" s="247">
        <v>101512</v>
      </c>
      <c r="D151" s="79" t="s">
        <v>755</v>
      </c>
      <c r="E151" s="181" t="s">
        <v>36</v>
      </c>
      <c r="F151" s="26">
        <v>1</v>
      </c>
      <c r="G151" s="26">
        <v>2660.12</v>
      </c>
      <c r="H151" s="179">
        <f t="shared" ref="H151:H156" si="49">G151+(G151*$I$4)</f>
        <v>3358.1354879999999</v>
      </c>
      <c r="I151" s="26">
        <f t="shared" ref="I151:I156" si="50">TRUNC(H151*F151,2)</f>
        <v>3358.13</v>
      </c>
    </row>
    <row r="152" spans="1:9" ht="42" x14ac:dyDescent="0.3">
      <c r="A152" s="80" t="s">
        <v>276</v>
      </c>
      <c r="B152" s="80" t="s">
        <v>383</v>
      </c>
      <c r="C152" s="247">
        <v>105953</v>
      </c>
      <c r="D152" s="79" t="s">
        <v>756</v>
      </c>
      <c r="E152" s="181" t="s">
        <v>36</v>
      </c>
      <c r="F152" s="26">
        <v>1</v>
      </c>
      <c r="G152" s="26">
        <v>1712.02</v>
      </c>
      <c r="H152" s="179">
        <f t="shared" si="49"/>
        <v>2161.2540479999998</v>
      </c>
      <c r="I152" s="26">
        <f t="shared" si="50"/>
        <v>2161.25</v>
      </c>
    </row>
    <row r="153" spans="1:9" ht="28" x14ac:dyDescent="0.3">
      <c r="A153" s="80" t="s">
        <v>276</v>
      </c>
      <c r="B153" s="80" t="s">
        <v>384</v>
      </c>
      <c r="C153" s="247">
        <v>96986</v>
      </c>
      <c r="D153" s="79" t="s">
        <v>516</v>
      </c>
      <c r="E153" s="181" t="s">
        <v>36</v>
      </c>
      <c r="F153" s="26">
        <v>1</v>
      </c>
      <c r="G153" s="26">
        <v>107.04</v>
      </c>
      <c r="H153" s="179">
        <f t="shared" si="49"/>
        <v>135.127296</v>
      </c>
      <c r="I153" s="26">
        <f t="shared" si="50"/>
        <v>135.12</v>
      </c>
    </row>
    <row r="154" spans="1:9" ht="42" x14ac:dyDescent="0.3">
      <c r="A154" s="80" t="s">
        <v>276</v>
      </c>
      <c r="B154" s="80" t="s">
        <v>751</v>
      </c>
      <c r="C154" s="247">
        <v>97360</v>
      </c>
      <c r="D154" s="79" t="s">
        <v>361</v>
      </c>
      <c r="E154" s="181" t="s">
        <v>36</v>
      </c>
      <c r="F154" s="26">
        <v>8</v>
      </c>
      <c r="G154" s="26">
        <v>171.96</v>
      </c>
      <c r="H154" s="179">
        <f t="shared" si="49"/>
        <v>217.08230400000002</v>
      </c>
      <c r="I154" s="26">
        <f t="shared" si="50"/>
        <v>1736.65</v>
      </c>
    </row>
    <row r="155" spans="1:9" ht="28" x14ac:dyDescent="0.3">
      <c r="A155" s="80" t="s">
        <v>276</v>
      </c>
      <c r="B155" s="80" t="s">
        <v>385</v>
      </c>
      <c r="C155" s="247">
        <v>101938</v>
      </c>
      <c r="D155" s="79" t="s">
        <v>754</v>
      </c>
      <c r="E155" s="181" t="s">
        <v>36</v>
      </c>
      <c r="F155" s="26">
        <v>1</v>
      </c>
      <c r="G155" s="26">
        <v>157.19</v>
      </c>
      <c r="H155" s="179">
        <f t="shared" si="49"/>
        <v>198.436656</v>
      </c>
      <c r="I155" s="26">
        <f t="shared" si="50"/>
        <v>198.43</v>
      </c>
    </row>
    <row r="156" spans="1:9" ht="28" x14ac:dyDescent="0.3">
      <c r="A156" s="80" t="s">
        <v>276</v>
      </c>
      <c r="B156" s="80" t="s">
        <v>386</v>
      </c>
      <c r="C156" s="247">
        <v>101946</v>
      </c>
      <c r="D156" s="79" t="s">
        <v>753</v>
      </c>
      <c r="E156" s="181" t="s">
        <v>36</v>
      </c>
      <c r="F156" s="26">
        <v>1</v>
      </c>
      <c r="G156" s="26">
        <v>121.27</v>
      </c>
      <c r="H156" s="179">
        <f t="shared" si="49"/>
        <v>153.09124800000001</v>
      </c>
      <c r="I156" s="26">
        <f t="shared" si="50"/>
        <v>153.09</v>
      </c>
    </row>
    <row r="157" spans="1:9" x14ac:dyDescent="0.3">
      <c r="A157" s="243"/>
      <c r="B157" s="243"/>
      <c r="C157" s="243"/>
      <c r="D157" s="244" t="s">
        <v>890</v>
      </c>
      <c r="E157" s="243"/>
      <c r="F157" s="245"/>
      <c r="G157" s="245"/>
      <c r="H157" s="246"/>
      <c r="I157" s="245"/>
    </row>
    <row r="158" spans="1:9" ht="56" x14ac:dyDescent="0.3">
      <c r="A158" s="80" t="s">
        <v>276</v>
      </c>
      <c r="B158" s="80" t="s">
        <v>752</v>
      </c>
      <c r="C158" s="24">
        <v>101879</v>
      </c>
      <c r="D158" s="79" t="s">
        <v>757</v>
      </c>
      <c r="E158" s="24" t="s">
        <v>36</v>
      </c>
      <c r="F158" s="26">
        <v>2</v>
      </c>
      <c r="G158" s="26">
        <v>684.04</v>
      </c>
      <c r="H158" s="179">
        <f>G158+(G158*$I$4)</f>
        <v>863.53209599999991</v>
      </c>
      <c r="I158" s="26">
        <f t="shared" ref="I158:I187" si="51">TRUNC(H158*F158,2)</f>
        <v>1727.06</v>
      </c>
    </row>
    <row r="159" spans="1:9" ht="56" x14ac:dyDescent="0.3">
      <c r="A159" s="80" t="s">
        <v>276</v>
      </c>
      <c r="B159" s="80" t="s">
        <v>387</v>
      </c>
      <c r="C159" s="24">
        <v>101883</v>
      </c>
      <c r="D159" s="79" t="s">
        <v>891</v>
      </c>
      <c r="E159" s="24" t="s">
        <v>36</v>
      </c>
      <c r="F159" s="26">
        <v>2</v>
      </c>
      <c r="G159" s="26">
        <v>654.51</v>
      </c>
      <c r="H159" s="179">
        <f>G159+(G159*$I$4)</f>
        <v>826.253424</v>
      </c>
      <c r="I159" s="26">
        <f t="shared" ref="I159" si="52">TRUNC(H159*F159,2)</f>
        <v>1652.5</v>
      </c>
    </row>
    <row r="160" spans="1:9" ht="42" x14ac:dyDescent="0.3">
      <c r="A160" s="80" t="s">
        <v>276</v>
      </c>
      <c r="B160" s="80" t="s">
        <v>388</v>
      </c>
      <c r="C160" s="24">
        <v>91856</v>
      </c>
      <c r="D160" s="25" t="s">
        <v>758</v>
      </c>
      <c r="E160" s="24" t="s">
        <v>41</v>
      </c>
      <c r="F160" s="26">
        <v>670.6</v>
      </c>
      <c r="G160" s="26">
        <v>12.01</v>
      </c>
      <c r="H160" s="179">
        <f>G160+(G160*$I$4)</f>
        <v>15.161424</v>
      </c>
      <c r="I160" s="26">
        <f t="shared" si="51"/>
        <v>10167.25</v>
      </c>
    </row>
    <row r="161" spans="1:9" ht="42" x14ac:dyDescent="0.3">
      <c r="A161" s="80" t="s">
        <v>276</v>
      </c>
      <c r="B161" s="80" t="s">
        <v>389</v>
      </c>
      <c r="C161" s="24">
        <v>91854</v>
      </c>
      <c r="D161" s="25" t="s">
        <v>759</v>
      </c>
      <c r="E161" s="24" t="s">
        <v>41</v>
      </c>
      <c r="F161" s="26">
        <v>649.79999999999995</v>
      </c>
      <c r="G161" s="26">
        <v>9.3699999999999992</v>
      </c>
      <c r="H161" s="179">
        <f t="shared" ref="H161:H173" si="53">G161+(G161*$I$4)</f>
        <v>11.828688</v>
      </c>
      <c r="I161" s="26">
        <f t="shared" si="51"/>
        <v>7686.28</v>
      </c>
    </row>
    <row r="162" spans="1:9" ht="42" x14ac:dyDescent="0.3">
      <c r="A162" s="80" t="s">
        <v>276</v>
      </c>
      <c r="B162" s="80" t="s">
        <v>390</v>
      </c>
      <c r="C162" s="24">
        <v>97668</v>
      </c>
      <c r="D162" s="25" t="s">
        <v>760</v>
      </c>
      <c r="E162" s="24" t="s">
        <v>41</v>
      </c>
      <c r="F162" s="26">
        <v>17.8</v>
      </c>
      <c r="G162" s="26">
        <v>11.25</v>
      </c>
      <c r="H162" s="179">
        <f t="shared" ref="H162" si="54">G162+(G162*$I$4)</f>
        <v>14.202</v>
      </c>
      <c r="I162" s="26">
        <f t="shared" ref="I162" si="55">TRUNC(H162*F162,2)</f>
        <v>252.79</v>
      </c>
    </row>
    <row r="163" spans="1:9" ht="42" x14ac:dyDescent="0.3">
      <c r="A163" s="80" t="s">
        <v>276</v>
      </c>
      <c r="B163" s="80" t="s">
        <v>391</v>
      </c>
      <c r="C163" s="24">
        <v>97670</v>
      </c>
      <c r="D163" s="25" t="s">
        <v>761</v>
      </c>
      <c r="E163" s="24" t="s">
        <v>41</v>
      </c>
      <c r="F163" s="26">
        <v>6.5</v>
      </c>
      <c r="G163" s="26">
        <v>21.34</v>
      </c>
      <c r="H163" s="179">
        <f t="shared" ref="H163" si="56">G163+(G163*$I$4)</f>
        <v>26.939616000000001</v>
      </c>
      <c r="I163" s="26">
        <f t="shared" ref="I163" si="57">TRUNC(H163*F163,2)</f>
        <v>175.1</v>
      </c>
    </row>
    <row r="164" spans="1:9" ht="42" x14ac:dyDescent="0.3">
      <c r="A164" s="80" t="s">
        <v>276</v>
      </c>
      <c r="B164" s="80" t="s">
        <v>392</v>
      </c>
      <c r="C164" s="24">
        <v>91924</v>
      </c>
      <c r="D164" s="79" t="s">
        <v>523</v>
      </c>
      <c r="E164" s="24" t="s">
        <v>41</v>
      </c>
      <c r="F164" s="26">
        <v>423.7</v>
      </c>
      <c r="G164" s="26">
        <v>3.24</v>
      </c>
      <c r="H164" s="179">
        <f t="shared" ref="H164" si="58">G164+(G164*$I$4)</f>
        <v>4.0901760000000005</v>
      </c>
      <c r="I164" s="26">
        <f>TRUNC(H164*F164,2)</f>
        <v>1733</v>
      </c>
    </row>
    <row r="165" spans="1:9" ht="42" x14ac:dyDescent="0.3">
      <c r="A165" s="80" t="s">
        <v>276</v>
      </c>
      <c r="B165" s="80" t="s">
        <v>393</v>
      </c>
      <c r="C165" s="24">
        <v>91926</v>
      </c>
      <c r="D165" s="79" t="s">
        <v>522</v>
      </c>
      <c r="E165" s="24" t="s">
        <v>41</v>
      </c>
      <c r="F165" s="26">
        <v>1380.3</v>
      </c>
      <c r="G165" s="26">
        <v>4.74</v>
      </c>
      <c r="H165" s="179">
        <f t="shared" si="53"/>
        <v>5.9837760000000006</v>
      </c>
      <c r="I165" s="26">
        <f>TRUNC(H165*F165,2)</f>
        <v>8259.4</v>
      </c>
    </row>
    <row r="166" spans="1:9" ht="42" x14ac:dyDescent="0.3">
      <c r="A166" s="80" t="s">
        <v>276</v>
      </c>
      <c r="B166" s="80" t="s">
        <v>394</v>
      </c>
      <c r="C166" s="24">
        <v>91928</v>
      </c>
      <c r="D166" s="79" t="s">
        <v>521</v>
      </c>
      <c r="E166" s="24" t="s">
        <v>41</v>
      </c>
      <c r="F166" s="26">
        <v>1806.2</v>
      </c>
      <c r="G166" s="26">
        <v>7.38</v>
      </c>
      <c r="H166" s="179">
        <f t="shared" si="53"/>
        <v>9.3165119999999995</v>
      </c>
      <c r="I166" s="26">
        <f>TRUNC(H166*F166,2)</f>
        <v>16827.48</v>
      </c>
    </row>
    <row r="167" spans="1:9" ht="42" x14ac:dyDescent="0.3">
      <c r="A167" s="80" t="s">
        <v>276</v>
      </c>
      <c r="B167" s="80" t="s">
        <v>395</v>
      </c>
      <c r="C167" s="24">
        <v>91930</v>
      </c>
      <c r="D167" s="79" t="s">
        <v>762</v>
      </c>
      <c r="E167" s="24" t="s">
        <v>41</v>
      </c>
      <c r="F167" s="26">
        <v>674.2</v>
      </c>
      <c r="G167" s="26">
        <v>10.35</v>
      </c>
      <c r="H167" s="179">
        <f t="shared" ref="H167:H169" si="59">G167+(G167*$I$4)</f>
        <v>13.06584</v>
      </c>
      <c r="I167" s="26">
        <f>TRUNC(H167*F167,2)</f>
        <v>8808.98</v>
      </c>
    </row>
    <row r="168" spans="1:9" ht="42" x14ac:dyDescent="0.3">
      <c r="A168" s="80" t="s">
        <v>276</v>
      </c>
      <c r="B168" s="80" t="s">
        <v>396</v>
      </c>
      <c r="C168" s="24">
        <v>91932</v>
      </c>
      <c r="D168" s="79" t="s">
        <v>763</v>
      </c>
      <c r="E168" s="24" t="s">
        <v>41</v>
      </c>
      <c r="F168" s="26">
        <v>854.6</v>
      </c>
      <c r="G168" s="26">
        <v>18.670000000000002</v>
      </c>
      <c r="H168" s="179">
        <f>G168+(G168*$I$4)</f>
        <v>23.569008000000004</v>
      </c>
      <c r="I168" s="26">
        <f>TRUNC(H168*F168,2)</f>
        <v>20142.07</v>
      </c>
    </row>
    <row r="169" spans="1:9" ht="42" x14ac:dyDescent="0.3">
      <c r="A169" s="80" t="s">
        <v>276</v>
      </c>
      <c r="B169" s="80" t="s">
        <v>397</v>
      </c>
      <c r="C169" s="24">
        <v>101562</v>
      </c>
      <c r="D169" s="79" t="s">
        <v>892</v>
      </c>
      <c r="E169" s="24" t="s">
        <v>41</v>
      </c>
      <c r="F169" s="26">
        <v>26</v>
      </c>
      <c r="G169" s="26">
        <v>28.26</v>
      </c>
      <c r="H169" s="179">
        <f t="shared" si="59"/>
        <v>35.675424</v>
      </c>
      <c r="I169" s="26">
        <f t="shared" ref="I169" si="60">TRUNC(H169*F169,2)</f>
        <v>927.56</v>
      </c>
    </row>
    <row r="170" spans="1:9" ht="42" x14ac:dyDescent="0.3">
      <c r="A170" s="80" t="s">
        <v>276</v>
      </c>
      <c r="B170" s="80" t="s">
        <v>398</v>
      </c>
      <c r="C170" s="24">
        <v>101563</v>
      </c>
      <c r="D170" s="79" t="s">
        <v>712</v>
      </c>
      <c r="E170" s="24" t="s">
        <v>41</v>
      </c>
      <c r="F170" s="26">
        <v>20.5</v>
      </c>
      <c r="G170" s="26">
        <v>29.26</v>
      </c>
      <c r="H170" s="179">
        <f t="shared" ref="H170" si="61">G170+(G170*$I$4)</f>
        <v>36.937824000000006</v>
      </c>
      <c r="I170" s="26">
        <f t="shared" ref="I170" si="62">TRUNC(H170*F170,2)</f>
        <v>757.22</v>
      </c>
    </row>
    <row r="171" spans="1:9" ht="42" x14ac:dyDescent="0.3">
      <c r="A171" s="80" t="s">
        <v>276</v>
      </c>
      <c r="B171" s="80" t="s">
        <v>839</v>
      </c>
      <c r="C171" s="24">
        <v>101565</v>
      </c>
      <c r="D171" s="79" t="s">
        <v>764</v>
      </c>
      <c r="E171" s="24" t="s">
        <v>41</v>
      </c>
      <c r="F171" s="26">
        <v>81.900000000000006</v>
      </c>
      <c r="G171" s="26">
        <v>85.43</v>
      </c>
      <c r="H171" s="179">
        <f t="shared" ref="H171" si="63">G171+(G171*$I$4)</f>
        <v>107.84683200000001</v>
      </c>
      <c r="I171" s="26">
        <f t="shared" ref="I171" si="64">TRUNC(H171*F171,2)</f>
        <v>8832.65</v>
      </c>
    </row>
    <row r="172" spans="1:9" ht="28" x14ac:dyDescent="0.3">
      <c r="A172" s="80" t="s">
        <v>276</v>
      </c>
      <c r="B172" s="80" t="s">
        <v>840</v>
      </c>
      <c r="C172" s="181">
        <v>93668</v>
      </c>
      <c r="D172" s="182" t="s">
        <v>360</v>
      </c>
      <c r="E172" s="181" t="s">
        <v>36</v>
      </c>
      <c r="F172" s="230">
        <v>8</v>
      </c>
      <c r="G172" s="230">
        <v>73.88</v>
      </c>
      <c r="H172" s="179">
        <f t="shared" si="53"/>
        <v>93.266111999999993</v>
      </c>
      <c r="I172" s="26">
        <f t="shared" si="51"/>
        <v>746.12</v>
      </c>
    </row>
    <row r="173" spans="1:9" ht="28" x14ac:dyDescent="0.3">
      <c r="A173" s="80" t="s">
        <v>276</v>
      </c>
      <c r="B173" s="80" t="s">
        <v>841</v>
      </c>
      <c r="C173" s="181">
        <v>93653</v>
      </c>
      <c r="D173" s="182" t="s">
        <v>765</v>
      </c>
      <c r="E173" s="181" t="s">
        <v>36</v>
      </c>
      <c r="F173" s="230">
        <v>3</v>
      </c>
      <c r="G173" s="230">
        <v>12.2</v>
      </c>
      <c r="H173" s="179">
        <f t="shared" si="53"/>
        <v>15.40128</v>
      </c>
      <c r="I173" s="26">
        <f t="shared" si="51"/>
        <v>46.2</v>
      </c>
    </row>
    <row r="174" spans="1:9" ht="28" x14ac:dyDescent="0.3">
      <c r="A174" s="80" t="s">
        <v>276</v>
      </c>
      <c r="B174" s="80" t="s">
        <v>842</v>
      </c>
      <c r="C174" s="181">
        <v>93655</v>
      </c>
      <c r="D174" s="182" t="s">
        <v>766</v>
      </c>
      <c r="E174" s="181" t="s">
        <v>36</v>
      </c>
      <c r="F174" s="230">
        <v>2</v>
      </c>
      <c r="G174" s="230">
        <v>13.13</v>
      </c>
      <c r="H174" s="179">
        <f t="shared" ref="H174" si="65">G174+(G174*$I$4)</f>
        <v>16.575312</v>
      </c>
      <c r="I174" s="26">
        <f t="shared" ref="I174" si="66">TRUNC(H174*F174,2)</f>
        <v>33.15</v>
      </c>
    </row>
    <row r="175" spans="1:9" ht="28" x14ac:dyDescent="0.3">
      <c r="A175" s="80" t="s">
        <v>276</v>
      </c>
      <c r="B175" s="80" t="s">
        <v>843</v>
      </c>
      <c r="C175" s="181">
        <v>93656</v>
      </c>
      <c r="D175" s="182" t="s">
        <v>699</v>
      </c>
      <c r="E175" s="181" t="s">
        <v>36</v>
      </c>
      <c r="F175" s="230">
        <v>1</v>
      </c>
      <c r="G175" s="230">
        <v>13.99</v>
      </c>
      <c r="H175" s="179">
        <f t="shared" ref="H175" si="67">G175+(G175*$I$4)</f>
        <v>17.660976000000002</v>
      </c>
      <c r="I175" s="26">
        <f t="shared" ref="I175" si="68">TRUNC(H175*F175,2)</f>
        <v>17.66</v>
      </c>
    </row>
    <row r="176" spans="1:9" ht="28" x14ac:dyDescent="0.3">
      <c r="A176" s="80" t="s">
        <v>276</v>
      </c>
      <c r="B176" s="80" t="s">
        <v>844</v>
      </c>
      <c r="C176" s="181">
        <v>93657</v>
      </c>
      <c r="D176" s="182" t="s">
        <v>767</v>
      </c>
      <c r="E176" s="181" t="s">
        <v>36</v>
      </c>
      <c r="F176" s="230">
        <v>1</v>
      </c>
      <c r="G176" s="230">
        <v>15.49</v>
      </c>
      <c r="H176" s="179">
        <f t="shared" ref="H176" si="69">G176+(G176*$I$4)</f>
        <v>19.554576000000001</v>
      </c>
      <c r="I176" s="26">
        <f t="shared" ref="I176" si="70">TRUNC(H176*F176,2)</f>
        <v>19.55</v>
      </c>
    </row>
    <row r="177" spans="1:9" ht="28" x14ac:dyDescent="0.3">
      <c r="A177" s="80" t="s">
        <v>276</v>
      </c>
      <c r="B177" s="80" t="s">
        <v>845</v>
      </c>
      <c r="C177" s="181">
        <v>101893</v>
      </c>
      <c r="D177" s="182" t="s">
        <v>768</v>
      </c>
      <c r="E177" s="181" t="s">
        <v>36</v>
      </c>
      <c r="F177" s="230">
        <v>3</v>
      </c>
      <c r="G177" s="230">
        <v>94.73</v>
      </c>
      <c r="H177" s="179">
        <f t="shared" ref="H177" si="71">G177+(G177*$I$4)</f>
        <v>119.587152</v>
      </c>
      <c r="I177" s="26">
        <f t="shared" ref="I177" si="72">TRUNC(H177*F177,2)</f>
        <v>358.76</v>
      </c>
    </row>
    <row r="178" spans="1:9" ht="28" x14ac:dyDescent="0.3">
      <c r="A178" s="80" t="s">
        <v>276</v>
      </c>
      <c r="B178" s="80" t="s">
        <v>846</v>
      </c>
      <c r="C178" s="181">
        <v>101894</v>
      </c>
      <c r="D178" s="182" t="s">
        <v>769</v>
      </c>
      <c r="E178" s="181" t="s">
        <v>36</v>
      </c>
      <c r="F178" s="230">
        <v>1</v>
      </c>
      <c r="G178" s="230">
        <v>159.69999999999999</v>
      </c>
      <c r="H178" s="179">
        <f t="shared" ref="H178" si="73">G178+(G178*$I$4)</f>
        <v>201.60527999999999</v>
      </c>
      <c r="I178" s="26">
        <f t="shared" ref="I178" si="74">TRUNC(H178*F178,2)</f>
        <v>201.6</v>
      </c>
    </row>
    <row r="179" spans="1:9" x14ac:dyDescent="0.3">
      <c r="A179" s="243"/>
      <c r="B179" s="243"/>
      <c r="C179" s="243"/>
      <c r="D179" s="244" t="s">
        <v>362</v>
      </c>
      <c r="E179" s="243"/>
      <c r="F179" s="245"/>
      <c r="G179" s="245"/>
      <c r="H179" s="246"/>
      <c r="I179" s="245"/>
    </row>
    <row r="180" spans="1:9" ht="42" x14ac:dyDescent="0.3">
      <c r="A180" s="80" t="s">
        <v>276</v>
      </c>
      <c r="B180" s="80" t="s">
        <v>847</v>
      </c>
      <c r="C180" s="24">
        <v>91941</v>
      </c>
      <c r="D180" s="25" t="s">
        <v>525</v>
      </c>
      <c r="E180" s="181" t="s">
        <v>36</v>
      </c>
      <c r="F180" s="26">
        <v>113</v>
      </c>
      <c r="G180" s="26">
        <v>11.52</v>
      </c>
      <c r="H180" s="179">
        <f>G180+(G180*$I$4)</f>
        <v>14.542847999999999</v>
      </c>
      <c r="I180" s="26">
        <f t="shared" si="51"/>
        <v>1643.34</v>
      </c>
    </row>
    <row r="181" spans="1:9" ht="28" x14ac:dyDescent="0.3">
      <c r="A181" s="80" t="s">
        <v>276</v>
      </c>
      <c r="B181" s="80" t="s">
        <v>848</v>
      </c>
      <c r="C181" s="24">
        <v>91937</v>
      </c>
      <c r="D181" s="25" t="s">
        <v>526</v>
      </c>
      <c r="E181" s="181" t="s">
        <v>36</v>
      </c>
      <c r="F181" s="26">
        <v>73</v>
      </c>
      <c r="G181" s="26">
        <v>15.83</v>
      </c>
      <c r="H181" s="179">
        <f t="shared" ref="H181:H187" si="75">G181+(G181*$I$4)</f>
        <v>19.983792000000001</v>
      </c>
      <c r="I181" s="26">
        <f>TRUNC(H181*F181,2)</f>
        <v>1458.81</v>
      </c>
    </row>
    <row r="182" spans="1:9" ht="28" x14ac:dyDescent="0.3">
      <c r="A182" s="80" t="s">
        <v>276</v>
      </c>
      <c r="B182" s="80" t="s">
        <v>849</v>
      </c>
      <c r="C182" s="24">
        <v>91953</v>
      </c>
      <c r="D182" s="25" t="s">
        <v>529</v>
      </c>
      <c r="E182" s="181" t="s">
        <v>36</v>
      </c>
      <c r="F182" s="26">
        <v>12</v>
      </c>
      <c r="G182" s="26">
        <v>28.65</v>
      </c>
      <c r="H182" s="179">
        <f t="shared" si="75"/>
        <v>36.167760000000001</v>
      </c>
      <c r="I182" s="26">
        <f>TRUNC(H182*F182,2)</f>
        <v>434.01</v>
      </c>
    </row>
    <row r="183" spans="1:9" ht="28" x14ac:dyDescent="0.3">
      <c r="A183" s="80" t="s">
        <v>276</v>
      </c>
      <c r="B183" s="80" t="s">
        <v>850</v>
      </c>
      <c r="C183" s="24">
        <v>91959</v>
      </c>
      <c r="D183" s="25" t="s">
        <v>770</v>
      </c>
      <c r="E183" s="181" t="s">
        <v>36</v>
      </c>
      <c r="F183" s="26">
        <v>1</v>
      </c>
      <c r="G183" s="26">
        <v>43.63</v>
      </c>
      <c r="H183" s="179">
        <f t="shared" ref="H183" si="76">G183+(G183*$I$4)</f>
        <v>55.078512000000003</v>
      </c>
      <c r="I183" s="26">
        <f>TRUNC(H183*F183,2)</f>
        <v>55.07</v>
      </c>
    </row>
    <row r="184" spans="1:9" ht="42" x14ac:dyDescent="0.3">
      <c r="A184" s="80" t="s">
        <v>276</v>
      </c>
      <c r="B184" s="80" t="s">
        <v>851</v>
      </c>
      <c r="C184" s="24">
        <v>92023</v>
      </c>
      <c r="D184" s="25" t="s">
        <v>527</v>
      </c>
      <c r="E184" s="24" t="s">
        <v>36</v>
      </c>
      <c r="F184" s="26">
        <v>8</v>
      </c>
      <c r="G184" s="26">
        <v>48.73</v>
      </c>
      <c r="H184" s="179">
        <f t="shared" si="75"/>
        <v>61.516751999999997</v>
      </c>
      <c r="I184" s="26">
        <f t="shared" si="51"/>
        <v>492.13</v>
      </c>
    </row>
    <row r="185" spans="1:9" ht="28" x14ac:dyDescent="0.3">
      <c r="A185" s="80" t="s">
        <v>276</v>
      </c>
      <c r="B185" s="80" t="s">
        <v>852</v>
      </c>
      <c r="C185" s="181">
        <v>92000</v>
      </c>
      <c r="D185" s="182" t="s">
        <v>528</v>
      </c>
      <c r="E185" s="181" t="s">
        <v>36</v>
      </c>
      <c r="F185" s="230">
        <v>68</v>
      </c>
      <c r="G185" s="230">
        <v>30.03</v>
      </c>
      <c r="H185" s="179">
        <f t="shared" si="75"/>
        <v>37.909872</v>
      </c>
      <c r="I185" s="26">
        <f t="shared" si="51"/>
        <v>2577.87</v>
      </c>
    </row>
    <row r="186" spans="1:9" ht="42" x14ac:dyDescent="0.3">
      <c r="A186" s="80" t="s">
        <v>276</v>
      </c>
      <c r="B186" s="80" t="s">
        <v>853</v>
      </c>
      <c r="C186" s="181">
        <v>92009</v>
      </c>
      <c r="D186" s="182" t="s">
        <v>771</v>
      </c>
      <c r="E186" s="181" t="s">
        <v>36</v>
      </c>
      <c r="F186" s="230">
        <v>11</v>
      </c>
      <c r="G186" s="230">
        <v>50.44</v>
      </c>
      <c r="H186" s="179">
        <f t="shared" ref="H186" si="77">G186+(G186*$I$4)</f>
        <v>63.675455999999997</v>
      </c>
      <c r="I186" s="26">
        <f t="shared" ref="I186" si="78">TRUNC(H186*F186,2)</f>
        <v>700.43</v>
      </c>
    </row>
    <row r="187" spans="1:9" x14ac:dyDescent="0.3">
      <c r="A187" s="80" t="s">
        <v>773</v>
      </c>
      <c r="B187" s="80" t="s">
        <v>854</v>
      </c>
      <c r="C187" s="80" t="s">
        <v>772</v>
      </c>
      <c r="D187" s="272" t="s">
        <v>894</v>
      </c>
      <c r="E187" s="181" t="s">
        <v>36</v>
      </c>
      <c r="F187" s="248">
        <v>32</v>
      </c>
      <c r="G187" s="230">
        <v>54</v>
      </c>
      <c r="H187" s="179">
        <f t="shared" si="75"/>
        <v>68.169600000000003</v>
      </c>
      <c r="I187" s="26">
        <f t="shared" si="51"/>
        <v>2181.42</v>
      </c>
    </row>
    <row r="188" spans="1:9" x14ac:dyDescent="0.3">
      <c r="A188" s="80" t="s">
        <v>773</v>
      </c>
      <c r="B188" s="80" t="s">
        <v>854</v>
      </c>
      <c r="C188" s="80" t="s">
        <v>772</v>
      </c>
      <c r="D188" s="272" t="s">
        <v>893</v>
      </c>
      <c r="E188" s="181" t="s">
        <v>36</v>
      </c>
      <c r="F188" s="248">
        <v>41</v>
      </c>
      <c r="G188" s="230">
        <v>85.13</v>
      </c>
      <c r="H188" s="179">
        <f t="shared" ref="H188" si="79">G188+(G188*$I$4)</f>
        <v>107.46811199999999</v>
      </c>
      <c r="I188" s="26">
        <f t="shared" ref="I188" si="80">TRUNC(H188*F188,2)</f>
        <v>4406.1899999999996</v>
      </c>
    </row>
    <row r="189" spans="1:9" x14ac:dyDescent="0.3">
      <c r="A189" s="27"/>
      <c r="B189" s="27" t="s">
        <v>320</v>
      </c>
      <c r="C189" s="294"/>
      <c r="D189" s="297" t="s">
        <v>357</v>
      </c>
      <c r="E189" s="295"/>
      <c r="F189" s="30"/>
      <c r="G189" s="30"/>
      <c r="H189" s="31"/>
      <c r="I189" s="30">
        <f>SUM(I190:I195)</f>
        <v>62009.69</v>
      </c>
    </row>
    <row r="190" spans="1:9" x14ac:dyDescent="0.3">
      <c r="A190" s="33"/>
      <c r="B190" s="33"/>
      <c r="C190" s="33"/>
      <c r="D190" s="296" t="s">
        <v>811</v>
      </c>
      <c r="E190" s="33"/>
      <c r="F190" s="35"/>
      <c r="G190" s="35"/>
      <c r="H190" s="36"/>
      <c r="I190" s="35"/>
    </row>
    <row r="191" spans="1:9" ht="28" x14ac:dyDescent="0.3">
      <c r="A191" s="80" t="s">
        <v>276</v>
      </c>
      <c r="B191" s="80" t="s">
        <v>524</v>
      </c>
      <c r="C191" s="181">
        <v>88489</v>
      </c>
      <c r="D191" s="182" t="s">
        <v>364</v>
      </c>
      <c r="E191" s="181" t="s">
        <v>29</v>
      </c>
      <c r="F191" s="26">
        <f>F54-F193</f>
        <v>2479.36</v>
      </c>
      <c r="G191" s="26">
        <v>12.92</v>
      </c>
      <c r="H191" s="179">
        <f>TRUNC(G191+(G191*$I$4),2)</f>
        <v>16.309999999999999</v>
      </c>
      <c r="I191" s="26">
        <f>TRUNC(H191*F191,2)</f>
        <v>40438.36</v>
      </c>
    </row>
    <row r="192" spans="1:9" x14ac:dyDescent="0.3">
      <c r="A192" s="33"/>
      <c r="B192" s="33"/>
      <c r="C192" s="33"/>
      <c r="D192" s="34" t="s">
        <v>630</v>
      </c>
      <c r="E192" s="33"/>
      <c r="F192" s="35"/>
      <c r="G192" s="35"/>
      <c r="H192" s="36"/>
      <c r="I192" s="35"/>
    </row>
    <row r="193" spans="1:9" ht="42" x14ac:dyDescent="0.3">
      <c r="A193" s="80" t="s">
        <v>276</v>
      </c>
      <c r="B193" s="80" t="s">
        <v>855</v>
      </c>
      <c r="C193" s="181">
        <v>104611</v>
      </c>
      <c r="D193" s="242" t="s">
        <v>886</v>
      </c>
      <c r="E193" s="181" t="s">
        <v>29</v>
      </c>
      <c r="F193" s="26">
        <v>160.1</v>
      </c>
      <c r="G193" s="26">
        <v>104.23</v>
      </c>
      <c r="H193" s="179">
        <f>TRUNC(G193+(G193*$I$4),2)</f>
        <v>131.57</v>
      </c>
      <c r="I193" s="26">
        <f>TRUNC(H193*F193,2)</f>
        <v>21064.35</v>
      </c>
    </row>
    <row r="194" spans="1:9" x14ac:dyDescent="0.3">
      <c r="A194" s="33"/>
      <c r="B194" s="33"/>
      <c r="C194" s="33"/>
      <c r="D194" s="34" t="s">
        <v>809</v>
      </c>
      <c r="E194" s="33"/>
      <c r="F194" s="35"/>
      <c r="G194" s="35"/>
      <c r="H194" s="36"/>
      <c r="I194" s="35"/>
    </row>
    <row r="195" spans="1:9" ht="28" x14ac:dyDescent="0.3">
      <c r="A195" s="80" t="s">
        <v>276</v>
      </c>
      <c r="B195" s="80" t="s">
        <v>856</v>
      </c>
      <c r="C195" s="181">
        <v>102213</v>
      </c>
      <c r="D195" s="242" t="s">
        <v>810</v>
      </c>
      <c r="E195" s="181" t="s">
        <v>29</v>
      </c>
      <c r="F195" s="26">
        <v>19.11</v>
      </c>
      <c r="G195" s="26">
        <v>21.02</v>
      </c>
      <c r="H195" s="179">
        <f>TRUNC(G195+(G195*$I$4),2)</f>
        <v>26.53</v>
      </c>
      <c r="I195" s="26">
        <f>TRUNC(H195*F195,2)</f>
        <v>506.98</v>
      </c>
    </row>
    <row r="196" spans="1:9" x14ac:dyDescent="0.3">
      <c r="A196" s="27"/>
      <c r="B196" s="27" t="s">
        <v>321</v>
      </c>
      <c r="C196" s="28"/>
      <c r="D196" s="29" t="s">
        <v>795</v>
      </c>
      <c r="E196" s="28"/>
      <c r="F196" s="30"/>
      <c r="G196" s="30"/>
      <c r="H196" s="31"/>
      <c r="I196" s="30">
        <f>SUM(I197:I197)</f>
        <v>5105</v>
      </c>
    </row>
    <row r="197" spans="1:9" ht="48" customHeight="1" x14ac:dyDescent="0.3">
      <c r="A197" s="80" t="s">
        <v>276</v>
      </c>
      <c r="B197" s="80" t="s">
        <v>576</v>
      </c>
      <c r="C197" s="24">
        <v>94990</v>
      </c>
      <c r="D197" s="25" t="s">
        <v>315</v>
      </c>
      <c r="E197" s="24" t="s">
        <v>32</v>
      </c>
      <c r="F197" s="26">
        <v>4.58</v>
      </c>
      <c r="G197" s="26">
        <v>882.95</v>
      </c>
      <c r="H197" s="179">
        <f>TRUNC(G197+(G197*$I$4),2)</f>
        <v>1114.6300000000001</v>
      </c>
      <c r="I197" s="26">
        <f>TRUNC(H197*F197,2)</f>
        <v>5105</v>
      </c>
    </row>
    <row r="198" spans="1:9" x14ac:dyDescent="0.3">
      <c r="A198" s="27"/>
      <c r="B198" s="27" t="s">
        <v>322</v>
      </c>
      <c r="C198" s="28"/>
      <c r="D198" s="29" t="s">
        <v>363</v>
      </c>
      <c r="E198" s="28"/>
      <c r="F198" s="30"/>
      <c r="G198" s="30"/>
      <c r="H198" s="31"/>
      <c r="I198" s="30">
        <f>SUM(I199:I208)</f>
        <v>19583.88</v>
      </c>
    </row>
    <row r="199" spans="1:9" x14ac:dyDescent="0.3">
      <c r="A199" s="33"/>
      <c r="B199" s="33"/>
      <c r="C199" s="33"/>
      <c r="D199" s="34" t="s">
        <v>799</v>
      </c>
      <c r="E199" s="33"/>
      <c r="F199" s="35"/>
      <c r="G199" s="35"/>
      <c r="H199" s="36"/>
      <c r="I199" s="35"/>
    </row>
    <row r="200" spans="1:9" ht="42" x14ac:dyDescent="0.3">
      <c r="A200" s="80" t="s">
        <v>276</v>
      </c>
      <c r="B200" s="80" t="s">
        <v>857</v>
      </c>
      <c r="C200" s="80">
        <v>101905</v>
      </c>
      <c r="D200" s="25" t="s">
        <v>800</v>
      </c>
      <c r="E200" s="24" t="s">
        <v>42</v>
      </c>
      <c r="F200" s="26">
        <v>1</v>
      </c>
      <c r="G200" s="26">
        <v>224.52</v>
      </c>
      <c r="H200" s="179">
        <f>TRUNC(G200+(G200*$I$4),2)+0.01</f>
        <v>283.44</v>
      </c>
      <c r="I200" s="26">
        <f>TRUNC(H200*F200,2)</f>
        <v>283.44</v>
      </c>
    </row>
    <row r="201" spans="1:9" ht="28" x14ac:dyDescent="0.3">
      <c r="A201" s="80" t="s">
        <v>276</v>
      </c>
      <c r="B201" s="80" t="s">
        <v>858</v>
      </c>
      <c r="C201" s="80">
        <v>101905</v>
      </c>
      <c r="D201" s="25" t="s">
        <v>801</v>
      </c>
      <c r="E201" s="24" t="s">
        <v>42</v>
      </c>
      <c r="F201" s="26">
        <v>3</v>
      </c>
      <c r="G201" s="26">
        <v>253.27</v>
      </c>
      <c r="H201" s="179">
        <f>TRUNC(G201+(G201*$I$4),2)+0.01</f>
        <v>319.73</v>
      </c>
      <c r="I201" s="26">
        <f>TRUNC(H201*F201,2)</f>
        <v>959.19</v>
      </c>
    </row>
    <row r="202" spans="1:9" ht="28" x14ac:dyDescent="0.3">
      <c r="A202" s="80" t="s">
        <v>276</v>
      </c>
      <c r="B202" s="80" t="s">
        <v>859</v>
      </c>
      <c r="C202" s="80">
        <v>97599</v>
      </c>
      <c r="D202" s="25" t="s">
        <v>802</v>
      </c>
      <c r="E202" s="24" t="s">
        <v>42</v>
      </c>
      <c r="F202" s="26">
        <v>10</v>
      </c>
      <c r="G202" s="26">
        <v>16.11</v>
      </c>
      <c r="H202" s="179">
        <f>TRUNC(G202+(G202*$I$4),2)+0.01</f>
        <v>20.34</v>
      </c>
      <c r="I202" s="26">
        <f>TRUNC(H202*F202,2)</f>
        <v>203.4</v>
      </c>
    </row>
    <row r="203" spans="1:9" ht="56" x14ac:dyDescent="0.3">
      <c r="A203" s="80" t="s">
        <v>773</v>
      </c>
      <c r="B203" s="80" t="s">
        <v>860</v>
      </c>
      <c r="C203" s="80" t="s">
        <v>772</v>
      </c>
      <c r="D203" s="25" t="s">
        <v>803</v>
      </c>
      <c r="E203" s="24" t="s">
        <v>42</v>
      </c>
      <c r="F203" s="26">
        <v>5</v>
      </c>
      <c r="G203" s="26">
        <v>29</v>
      </c>
      <c r="H203" s="179">
        <f>TRUNC(G203+(G203*$I$4),2)+0.01</f>
        <v>36.61</v>
      </c>
      <c r="I203" s="26">
        <f>TRUNC(H203*F203,2)</f>
        <v>183.05</v>
      </c>
    </row>
    <row r="204" spans="1:9" ht="56" x14ac:dyDescent="0.3">
      <c r="A204" s="80" t="s">
        <v>773</v>
      </c>
      <c r="B204" s="80" t="s">
        <v>861</v>
      </c>
      <c r="C204" s="80" t="s">
        <v>772</v>
      </c>
      <c r="D204" s="25" t="s">
        <v>804</v>
      </c>
      <c r="E204" s="24" t="s">
        <v>42</v>
      </c>
      <c r="F204" s="26">
        <v>4</v>
      </c>
      <c r="G204" s="26">
        <v>31</v>
      </c>
      <c r="H204" s="179">
        <f>TRUNC(G204+(G204*$I$4),2)+0.01</f>
        <v>39.14</v>
      </c>
      <c r="I204" s="26">
        <f>TRUNC(H204*F204,2)</f>
        <v>156.56</v>
      </c>
    </row>
    <row r="205" spans="1:9" x14ac:dyDescent="0.3">
      <c r="A205" s="33"/>
      <c r="B205" s="33"/>
      <c r="C205" s="33"/>
      <c r="D205" s="34" t="s">
        <v>807</v>
      </c>
      <c r="E205" s="33"/>
      <c r="F205" s="35"/>
      <c r="G205" s="35"/>
      <c r="H205" s="36"/>
      <c r="I205" s="35"/>
    </row>
    <row r="206" spans="1:9" ht="42" x14ac:dyDescent="0.3">
      <c r="A206" s="80" t="s">
        <v>276</v>
      </c>
      <c r="B206" s="80" t="s">
        <v>862</v>
      </c>
      <c r="C206" s="80">
        <v>100872</v>
      </c>
      <c r="D206" s="25" t="s">
        <v>808</v>
      </c>
      <c r="E206" s="24" t="s">
        <v>42</v>
      </c>
      <c r="F206" s="26">
        <v>2</v>
      </c>
      <c r="G206" s="26">
        <v>343.27</v>
      </c>
      <c r="H206" s="179">
        <f>TRUNC(G206+(G206*$I$4),2)+0.01</f>
        <v>433.34999999999997</v>
      </c>
      <c r="I206" s="26">
        <f>TRUNC(H206*F206,2)</f>
        <v>866.7</v>
      </c>
    </row>
    <row r="207" spans="1:9" x14ac:dyDescent="0.3">
      <c r="A207" s="33"/>
      <c r="B207" s="33"/>
      <c r="C207" s="33"/>
      <c r="D207" s="34" t="s">
        <v>679</v>
      </c>
      <c r="E207" s="33"/>
      <c r="F207" s="35"/>
      <c r="G207" s="35"/>
      <c r="H207" s="36"/>
      <c r="I207" s="35"/>
    </row>
    <row r="208" spans="1:9" x14ac:dyDescent="0.3">
      <c r="A208" s="80" t="s">
        <v>334</v>
      </c>
      <c r="B208" s="80" t="s">
        <v>863</v>
      </c>
      <c r="C208" s="80" t="s">
        <v>335</v>
      </c>
      <c r="D208" s="25" t="s">
        <v>336</v>
      </c>
      <c r="E208" s="24" t="s">
        <v>29</v>
      </c>
      <c r="F208" s="26">
        <f>F86+F91</f>
        <v>4455.67</v>
      </c>
      <c r="G208" s="26">
        <v>3.01</v>
      </c>
      <c r="H208" s="179">
        <f>TRUNC(G208+(G208*$I$4),2)+0.01</f>
        <v>3.8</v>
      </c>
      <c r="I208" s="26">
        <f>TRUNC(H208*F208,2)</f>
        <v>16931.54</v>
      </c>
    </row>
    <row r="209" spans="1:10" ht="14.5" thickBot="1" x14ac:dyDescent="0.35">
      <c r="A209" s="425"/>
      <c r="B209" s="426"/>
      <c r="C209" s="427"/>
      <c r="D209" s="427"/>
      <c r="E209" s="427"/>
      <c r="F209" s="427"/>
      <c r="G209" s="428"/>
      <c r="H209" s="83" t="s">
        <v>12</v>
      </c>
      <c r="I209" s="84">
        <f>SUM(I7:I208)/2</f>
        <v>2692487.4000000022</v>
      </c>
      <c r="J209" s="159" t="e">
        <f>I198+I196+I189+I149+I92+I84+I71+#REF!+I57+I53+I48+I16+I9+I7</f>
        <v>#REF!</v>
      </c>
    </row>
    <row r="210" spans="1:10" x14ac:dyDescent="0.3">
      <c r="A210" s="388" t="s">
        <v>137</v>
      </c>
      <c r="B210" s="413"/>
      <c r="C210" s="413"/>
      <c r="D210" s="389"/>
      <c r="E210" s="388" t="s">
        <v>141</v>
      </c>
      <c r="F210" s="389"/>
      <c r="G210" s="458"/>
      <c r="H210" s="458"/>
      <c r="I210" s="459"/>
    </row>
    <row r="211" spans="1:10" ht="14.5" thickBot="1" x14ac:dyDescent="0.35">
      <c r="A211" s="390"/>
      <c r="B211" s="414"/>
      <c r="C211" s="414"/>
      <c r="D211" s="391"/>
      <c r="E211" s="390"/>
      <c r="F211" s="391"/>
      <c r="G211" s="460"/>
      <c r="H211" s="460"/>
      <c r="I211" s="461"/>
    </row>
    <row r="212" spans="1:10" x14ac:dyDescent="0.3">
      <c r="A212" s="462"/>
      <c r="B212" s="463"/>
      <c r="C212" s="463"/>
      <c r="D212" s="464"/>
      <c r="E212" s="397" t="s">
        <v>142</v>
      </c>
      <c r="F212" s="398"/>
      <c r="G212" s="398"/>
      <c r="H212" s="398"/>
      <c r="I212" s="399"/>
    </row>
    <row r="213" spans="1:10" x14ac:dyDescent="0.3">
      <c r="A213" s="356"/>
      <c r="B213" s="357"/>
      <c r="C213" s="357"/>
      <c r="D213" s="465"/>
      <c r="E213" s="406"/>
      <c r="F213" s="376"/>
      <c r="G213" s="376"/>
      <c r="H213" s="376"/>
      <c r="I213" s="377"/>
    </row>
    <row r="214" spans="1:10" x14ac:dyDescent="0.3">
      <c r="A214" s="418" t="s">
        <v>13</v>
      </c>
      <c r="B214" s="419"/>
      <c r="C214" s="419"/>
      <c r="D214" s="420"/>
      <c r="E214" s="407"/>
      <c r="F214" s="408"/>
      <c r="G214" s="408"/>
      <c r="H214" s="408"/>
      <c r="I214" s="409"/>
    </row>
    <row r="215" spans="1:10" ht="14.5" thickBot="1" x14ac:dyDescent="0.35">
      <c r="A215" s="400" t="s">
        <v>700</v>
      </c>
      <c r="B215" s="466"/>
      <c r="C215" s="466"/>
      <c r="D215" s="467"/>
      <c r="E215" s="410"/>
      <c r="F215" s="411"/>
      <c r="G215" s="411"/>
      <c r="H215" s="411"/>
      <c r="I215" s="412"/>
    </row>
    <row r="216" spans="1:10" ht="15.5" x14ac:dyDescent="0.35">
      <c r="A216" s="39"/>
      <c r="B216" s="39"/>
      <c r="C216" s="39"/>
      <c r="D216" s="39"/>
      <c r="E216" s="39"/>
      <c r="F216" s="39"/>
      <c r="G216" s="39"/>
      <c r="H216" s="39"/>
      <c r="I216" s="39"/>
    </row>
    <row r="217" spans="1:10" ht="15.5" x14ac:dyDescent="0.35">
      <c r="A217" s="39"/>
      <c r="B217" s="39"/>
      <c r="C217" s="39"/>
      <c r="D217" s="39"/>
      <c r="E217" s="39"/>
      <c r="F217" s="39"/>
      <c r="G217" s="39"/>
      <c r="H217" s="39"/>
      <c r="I217" s="39"/>
    </row>
    <row r="218" spans="1:10" x14ac:dyDescent="0.3">
      <c r="A218" s="40"/>
      <c r="B218" s="40"/>
      <c r="C218" s="40"/>
      <c r="D218" s="40"/>
      <c r="E218" s="40"/>
      <c r="F218" s="40"/>
      <c r="G218" s="40"/>
      <c r="H218" s="40"/>
      <c r="I218" s="40"/>
    </row>
    <row r="219" spans="1:10" x14ac:dyDescent="0.3">
      <c r="A219" s="40"/>
      <c r="B219" s="40"/>
      <c r="C219" s="40"/>
      <c r="D219" s="40"/>
      <c r="E219" s="40"/>
      <c r="F219" s="40"/>
      <c r="G219" s="40"/>
      <c r="H219" s="40"/>
      <c r="I219" s="40"/>
    </row>
    <row r="220" spans="1:10" x14ac:dyDescent="0.3">
      <c r="A220" s="40"/>
      <c r="B220" s="40"/>
      <c r="C220" s="40"/>
      <c r="D220" s="40"/>
      <c r="E220" s="40"/>
      <c r="F220" s="40"/>
      <c r="G220" s="40"/>
      <c r="H220" s="40"/>
      <c r="I220" s="40"/>
    </row>
    <row r="221" spans="1:10" x14ac:dyDescent="0.3">
      <c r="A221" s="40"/>
      <c r="B221" s="40"/>
      <c r="C221" s="40"/>
      <c r="D221" s="40"/>
      <c r="E221" s="40"/>
      <c r="F221" s="40"/>
      <c r="G221" s="40"/>
      <c r="H221" s="40"/>
      <c r="I221" s="40"/>
    </row>
    <row r="222" spans="1:10" x14ac:dyDescent="0.3">
      <c r="A222" s="40"/>
      <c r="B222" s="40"/>
      <c r="C222" s="40"/>
      <c r="D222" s="40"/>
      <c r="E222" s="40"/>
      <c r="F222" s="40"/>
      <c r="G222" s="40"/>
      <c r="H222" s="40"/>
      <c r="I222" s="40"/>
    </row>
    <row r="223" spans="1:10" x14ac:dyDescent="0.3">
      <c r="A223" s="40"/>
      <c r="B223" s="40"/>
      <c r="C223" s="40"/>
      <c r="D223" s="40"/>
      <c r="E223" s="40"/>
      <c r="F223" s="40"/>
      <c r="G223" s="40"/>
      <c r="H223" s="40"/>
      <c r="I223" s="40"/>
    </row>
    <row r="224" spans="1:10" x14ac:dyDescent="0.3">
      <c r="A224" s="40"/>
      <c r="B224" s="40"/>
      <c r="C224" s="40"/>
      <c r="D224" s="40"/>
      <c r="E224" s="40"/>
      <c r="F224" s="40"/>
      <c r="G224" s="40"/>
      <c r="H224" s="40"/>
      <c r="I224" s="40"/>
    </row>
    <row r="225" spans="1:9" x14ac:dyDescent="0.3">
      <c r="A225" s="40"/>
      <c r="B225" s="40"/>
      <c r="C225" s="40"/>
      <c r="D225" s="40"/>
      <c r="E225" s="40"/>
      <c r="F225" s="40"/>
      <c r="G225" s="40"/>
      <c r="H225" s="40"/>
      <c r="I225" s="40"/>
    </row>
    <row r="226" spans="1:9" x14ac:dyDescent="0.3">
      <c r="A226" s="40"/>
      <c r="B226" s="40"/>
      <c r="C226" s="40"/>
      <c r="D226" s="40"/>
      <c r="E226" s="40"/>
      <c r="F226" s="40"/>
      <c r="G226" s="40"/>
      <c r="H226" s="40"/>
      <c r="I226" s="40"/>
    </row>
    <row r="227" spans="1:9" x14ac:dyDescent="0.3">
      <c r="A227" s="40"/>
      <c r="B227" s="40"/>
      <c r="C227" s="40"/>
      <c r="D227" s="40"/>
      <c r="E227" s="40"/>
      <c r="F227" s="40"/>
      <c r="G227" s="40"/>
      <c r="H227" s="40"/>
      <c r="I227" s="40"/>
    </row>
  </sheetData>
  <mergeCells count="19">
    <mergeCell ref="E215:I215"/>
    <mergeCell ref="E212:I212"/>
    <mergeCell ref="E213:I213"/>
    <mergeCell ref="E214:I214"/>
    <mergeCell ref="A212:D213"/>
    <mergeCell ref="A214:D214"/>
    <mergeCell ref="A215:D215"/>
    <mergeCell ref="A5:I5"/>
    <mergeCell ref="A209:G209"/>
    <mergeCell ref="E210:F211"/>
    <mergeCell ref="G210:I211"/>
    <mergeCell ref="A210:D211"/>
    <mergeCell ref="B1:F1"/>
    <mergeCell ref="B2:F2"/>
    <mergeCell ref="B3:F3"/>
    <mergeCell ref="G3:H3"/>
    <mergeCell ref="G4:H4"/>
    <mergeCell ref="G1:H2"/>
    <mergeCell ref="B4:F4"/>
  </mergeCells>
  <phoneticPr fontId="19" type="noConversion"/>
  <pageMargins left="0.7" right="0.7" top="1.1850000000000001" bottom="0.75" header="0.3" footer="0.43125000000000002"/>
  <pageSetup paperSize="9" scale="64" fitToHeight="0" orientation="landscape" r:id="rId1"/>
  <headerFooter>
    <oddHeader>&amp;L&amp;G</oddHeader>
    <oddFooter>&amp;CRua Rui Barbosa, 310 - Centro - Araputanga-MT – Cel: (65) 99613-9294 E-mail: carolina.o.almeida@hotmail.com / escalaprojeta@gmail.com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957"/>
  <sheetViews>
    <sheetView topLeftCell="A7" workbookViewId="0">
      <selection activeCell="E11" sqref="E11"/>
    </sheetView>
  </sheetViews>
  <sheetFormatPr defaultColWidth="12.6640625" defaultRowHeight="15" customHeight="1" x14ac:dyDescent="0.3"/>
  <cols>
    <col min="1" max="1" width="13.83203125" customWidth="1"/>
    <col min="2" max="2" width="10.25" customWidth="1"/>
    <col min="3" max="3" width="47.1640625" customWidth="1"/>
    <col min="4" max="4" width="8" customWidth="1"/>
    <col min="5" max="5" width="15.1640625" customWidth="1"/>
    <col min="6" max="6" width="15.75" customWidth="1"/>
    <col min="7" max="7" width="12.33203125" customWidth="1"/>
    <col min="8" max="26" width="7.6640625" customWidth="1"/>
  </cols>
  <sheetData>
    <row r="1" spans="1:8" ht="14" x14ac:dyDescent="0.3">
      <c r="A1" s="41" t="str">
        <f>PLANILHA!A1</f>
        <v>Obra:</v>
      </c>
      <c r="B1" s="472" t="str">
        <f>PLANILHA!B1</f>
        <v>Construção de rede de drenagem pluvial</v>
      </c>
      <c r="C1" s="313"/>
      <c r="D1" s="313"/>
      <c r="E1" s="313"/>
      <c r="F1" s="313"/>
      <c r="G1" s="314"/>
    </row>
    <row r="2" spans="1:8" ht="14" x14ac:dyDescent="0.3">
      <c r="A2" s="41" t="str">
        <f>PLANILHA!A2</f>
        <v>Proprietário:</v>
      </c>
      <c r="B2" s="472" t="str">
        <f>PLANILHA!B2</f>
        <v>Prefeitura Municipal de Indiavaí</v>
      </c>
      <c r="C2" s="313"/>
      <c r="D2" s="313"/>
      <c r="E2" s="313"/>
      <c r="F2" s="313"/>
      <c r="G2" s="314"/>
    </row>
    <row r="3" spans="1:8" ht="14" x14ac:dyDescent="0.3">
      <c r="A3" s="41" t="str">
        <f>PLANILHA!A3</f>
        <v>Local:</v>
      </c>
      <c r="B3" s="472" t="str">
        <f>PLANILHA!B3</f>
        <v>Avenida Governador Jayme Campos</v>
      </c>
      <c r="C3" s="313"/>
      <c r="D3" s="313"/>
      <c r="E3" s="313"/>
      <c r="F3" s="313"/>
      <c r="G3" s="314"/>
    </row>
    <row r="4" spans="1:8" ht="14" x14ac:dyDescent="0.3">
      <c r="A4" s="41" t="str">
        <f>PLANILHA!A4</f>
        <v>Data:</v>
      </c>
      <c r="B4" s="473" t="str">
        <f>PLANILHA!B4</f>
        <v>30 de julho de 2021</v>
      </c>
      <c r="C4" s="313"/>
      <c r="D4" s="313"/>
      <c r="E4" s="313"/>
      <c r="F4" s="313"/>
      <c r="G4" s="314"/>
    </row>
    <row r="5" spans="1:8" ht="12" customHeight="1" thickBot="1" x14ac:dyDescent="0.35">
      <c r="A5" s="42"/>
      <c r="B5" s="43"/>
      <c r="C5" s="43"/>
      <c r="D5" s="43"/>
      <c r="E5" s="43"/>
      <c r="F5" s="43"/>
      <c r="G5" s="43"/>
    </row>
    <row r="6" spans="1:8" ht="22.5" customHeight="1" thickBot="1" x14ac:dyDescent="0.35">
      <c r="A6" s="474" t="s">
        <v>45</v>
      </c>
      <c r="B6" s="475"/>
      <c r="C6" s="475"/>
      <c r="D6" s="475"/>
      <c r="E6" s="475"/>
      <c r="F6" s="475"/>
      <c r="G6" s="476"/>
    </row>
    <row r="7" spans="1:8" ht="22.5" customHeight="1" x14ac:dyDescent="0.3">
      <c r="A7" s="468" t="s">
        <v>28</v>
      </c>
      <c r="B7" s="317"/>
      <c r="C7" s="469"/>
      <c r="D7" s="470" t="s">
        <v>46</v>
      </c>
      <c r="E7" s="317"/>
      <c r="F7" s="317"/>
      <c r="G7" s="471"/>
    </row>
    <row r="8" spans="1:8" ht="28.5" thickBot="1" x14ac:dyDescent="0.35">
      <c r="A8" s="140" t="s">
        <v>47</v>
      </c>
      <c r="B8" s="44" t="s">
        <v>48</v>
      </c>
      <c r="C8" s="44" t="s">
        <v>6</v>
      </c>
      <c r="D8" s="45" t="s">
        <v>42</v>
      </c>
      <c r="E8" s="46" t="s">
        <v>49</v>
      </c>
      <c r="F8" s="47" t="s">
        <v>50</v>
      </c>
      <c r="G8" s="141" t="s">
        <v>51</v>
      </c>
    </row>
    <row r="9" spans="1:8" ht="42" x14ac:dyDescent="0.3">
      <c r="A9" s="142" t="s">
        <v>52</v>
      </c>
      <c r="B9" s="143">
        <v>4417</v>
      </c>
      <c r="C9" s="144" t="s">
        <v>53</v>
      </c>
      <c r="D9" s="143" t="s">
        <v>54</v>
      </c>
      <c r="E9" s="145" t="s">
        <v>55</v>
      </c>
      <c r="F9" s="48">
        <v>4.0999999999999996</v>
      </c>
      <c r="G9" s="146">
        <f t="shared" ref="G9:G15" si="0">F9*E9</f>
        <v>4.0999999999999996</v>
      </c>
    </row>
    <row r="10" spans="1:8" ht="42" x14ac:dyDescent="0.3">
      <c r="A10" s="147" t="s">
        <v>52</v>
      </c>
      <c r="B10" s="49">
        <v>4491</v>
      </c>
      <c r="C10" s="50" t="s">
        <v>56</v>
      </c>
      <c r="D10" s="49" t="s">
        <v>54</v>
      </c>
      <c r="E10" s="48" t="s">
        <v>57</v>
      </c>
      <c r="F10" s="48">
        <v>8.14</v>
      </c>
      <c r="G10" s="148">
        <f t="shared" si="0"/>
        <v>32.56</v>
      </c>
    </row>
    <row r="11" spans="1:8" ht="28" x14ac:dyDescent="0.3">
      <c r="A11" s="147" t="s">
        <v>52</v>
      </c>
      <c r="B11" s="49">
        <v>4813</v>
      </c>
      <c r="C11" s="50" t="s">
        <v>58</v>
      </c>
      <c r="D11" s="49" t="s">
        <v>59</v>
      </c>
      <c r="E11" s="48" t="s">
        <v>55</v>
      </c>
      <c r="F11" s="48">
        <v>225</v>
      </c>
      <c r="G11" s="148">
        <f t="shared" si="0"/>
        <v>225</v>
      </c>
    </row>
    <row r="12" spans="1:8" ht="28" x14ac:dyDescent="0.3">
      <c r="A12" s="147" t="s">
        <v>52</v>
      </c>
      <c r="B12" s="49">
        <v>5075</v>
      </c>
      <c r="C12" s="50" t="s">
        <v>60</v>
      </c>
      <c r="D12" s="49" t="s">
        <v>61</v>
      </c>
      <c r="E12" s="48" t="s">
        <v>62</v>
      </c>
      <c r="F12" s="48">
        <v>18.309999999999999</v>
      </c>
      <c r="G12" s="148">
        <f t="shared" si="0"/>
        <v>2.0141</v>
      </c>
    </row>
    <row r="13" spans="1:8" ht="28" x14ac:dyDescent="0.3">
      <c r="A13" s="147" t="s">
        <v>63</v>
      </c>
      <c r="B13" s="49">
        <v>88262</v>
      </c>
      <c r="C13" s="50" t="s">
        <v>64</v>
      </c>
      <c r="D13" s="49" t="s">
        <v>65</v>
      </c>
      <c r="E13" s="48" t="s">
        <v>55</v>
      </c>
      <c r="F13" s="48">
        <v>19.649999999999999</v>
      </c>
      <c r="G13" s="148">
        <f t="shared" si="0"/>
        <v>19.649999999999999</v>
      </c>
    </row>
    <row r="14" spans="1:8" ht="14" x14ac:dyDescent="0.3">
      <c r="A14" s="147" t="s">
        <v>63</v>
      </c>
      <c r="B14" s="49">
        <v>88316</v>
      </c>
      <c r="C14" s="50" t="s">
        <v>66</v>
      </c>
      <c r="D14" s="49" t="s">
        <v>65</v>
      </c>
      <c r="E14" s="48" t="s">
        <v>67</v>
      </c>
      <c r="F14" s="48">
        <v>15.65</v>
      </c>
      <c r="G14" s="148">
        <f t="shared" si="0"/>
        <v>31.3</v>
      </c>
    </row>
    <row r="15" spans="1:8" ht="56.5" thickBot="1" x14ac:dyDescent="0.35">
      <c r="A15" s="149" t="s">
        <v>63</v>
      </c>
      <c r="B15" s="150">
        <v>94962</v>
      </c>
      <c r="C15" s="151" t="s">
        <v>68</v>
      </c>
      <c r="D15" s="150" t="s">
        <v>69</v>
      </c>
      <c r="E15" s="152" t="s">
        <v>70</v>
      </c>
      <c r="F15" s="152">
        <v>302.63</v>
      </c>
      <c r="G15" s="153">
        <f t="shared" si="0"/>
        <v>3.0263</v>
      </c>
    </row>
    <row r="16" spans="1:8" thickBot="1" x14ac:dyDescent="0.4">
      <c r="A16" s="136"/>
      <c r="B16" s="136"/>
      <c r="C16" s="136"/>
      <c r="D16" s="136"/>
      <c r="E16" s="136"/>
      <c r="F16" s="138" t="s">
        <v>71</v>
      </c>
      <c r="G16" s="139">
        <f>TRUNC(G14+G15+G13+G12+G11+G10+G9,2)</f>
        <v>317.64999999999998</v>
      </c>
      <c r="H16" s="54"/>
    </row>
    <row r="17" spans="1:8" ht="14.5" thickBot="1" x14ac:dyDescent="0.35">
      <c r="A17" s="42"/>
      <c r="B17" s="42"/>
      <c r="C17" s="42"/>
      <c r="D17" s="42"/>
      <c r="E17" s="42"/>
      <c r="F17" s="42"/>
      <c r="G17" s="42"/>
    </row>
    <row r="18" spans="1:8" ht="22.5" customHeight="1" thickBot="1" x14ac:dyDescent="0.35">
      <c r="A18" s="474" t="s">
        <v>72</v>
      </c>
      <c r="B18" s="475"/>
      <c r="C18" s="475"/>
      <c r="D18" s="475"/>
      <c r="E18" s="475"/>
      <c r="F18" s="475"/>
      <c r="G18" s="476"/>
    </row>
    <row r="19" spans="1:8" ht="30.75" customHeight="1" x14ac:dyDescent="0.3">
      <c r="A19" s="468" t="s">
        <v>116</v>
      </c>
      <c r="B19" s="317"/>
      <c r="C19" s="469"/>
      <c r="D19" s="470" t="s">
        <v>123</v>
      </c>
      <c r="E19" s="317"/>
      <c r="F19" s="317"/>
      <c r="G19" s="471"/>
    </row>
    <row r="20" spans="1:8" ht="28.5" thickBot="1" x14ac:dyDescent="0.35">
      <c r="A20" s="140" t="s">
        <v>47</v>
      </c>
      <c r="B20" s="44" t="s">
        <v>74</v>
      </c>
      <c r="C20" s="44" t="s">
        <v>6</v>
      </c>
      <c r="D20" s="45"/>
      <c r="E20" s="46" t="s">
        <v>49</v>
      </c>
      <c r="F20" s="47" t="s">
        <v>50</v>
      </c>
      <c r="G20" s="141" t="s">
        <v>51</v>
      </c>
    </row>
    <row r="21" spans="1:8" ht="27" customHeight="1" x14ac:dyDescent="0.3">
      <c r="A21" s="147" t="s">
        <v>63</v>
      </c>
      <c r="B21" s="49">
        <v>90778</v>
      </c>
      <c r="C21" s="50" t="s">
        <v>119</v>
      </c>
      <c r="D21" s="49" t="s">
        <v>65</v>
      </c>
      <c r="E21" s="81">
        <v>8</v>
      </c>
      <c r="F21" s="48">
        <v>105.29</v>
      </c>
      <c r="G21" s="146">
        <f>F21*E21</f>
        <v>842.32</v>
      </c>
    </row>
    <row r="22" spans="1:8" ht="27" customHeight="1" thickBot="1" x14ac:dyDescent="0.35">
      <c r="A22" s="154" t="s">
        <v>63</v>
      </c>
      <c r="B22" s="51">
        <v>90776</v>
      </c>
      <c r="C22" s="52" t="s">
        <v>120</v>
      </c>
      <c r="D22" s="51" t="s">
        <v>65</v>
      </c>
      <c r="E22" s="82">
        <v>80</v>
      </c>
      <c r="F22" s="53">
        <v>23.11</v>
      </c>
      <c r="G22" s="155">
        <f>F22*E22</f>
        <v>1848.8</v>
      </c>
    </row>
    <row r="23" spans="1:8" ht="15.75" customHeight="1" thickBot="1" x14ac:dyDescent="0.35">
      <c r="A23" s="149" t="s">
        <v>63</v>
      </c>
      <c r="B23" s="150">
        <v>90781</v>
      </c>
      <c r="C23" s="151" t="s">
        <v>121</v>
      </c>
      <c r="D23" s="150" t="s">
        <v>65</v>
      </c>
      <c r="E23" s="156">
        <v>16</v>
      </c>
      <c r="F23" s="152">
        <v>17.100000000000001</v>
      </c>
      <c r="G23" s="153">
        <f>F23*E23</f>
        <v>273.60000000000002</v>
      </c>
    </row>
    <row r="24" spans="1:8" ht="15.75" customHeight="1" thickBot="1" x14ac:dyDescent="0.4">
      <c r="A24" s="136"/>
      <c r="B24" s="136"/>
      <c r="C24" s="136"/>
      <c r="D24" s="136"/>
      <c r="E24" s="136"/>
      <c r="F24" s="138" t="s">
        <v>71</v>
      </c>
      <c r="G24" s="139">
        <f>SUM(G21:G23)</f>
        <v>2964.72</v>
      </c>
      <c r="H24" s="54"/>
    </row>
    <row r="25" spans="1:8" ht="15.75" customHeight="1" thickBot="1" x14ac:dyDescent="0.35">
      <c r="A25" s="42"/>
      <c r="B25" s="42"/>
      <c r="C25" s="42"/>
      <c r="D25" s="42"/>
      <c r="E25" s="42"/>
      <c r="F25" s="42"/>
      <c r="G25" s="42"/>
    </row>
    <row r="26" spans="1:8" ht="27" customHeight="1" thickBot="1" x14ac:dyDescent="0.35">
      <c r="A26" s="474" t="s">
        <v>76</v>
      </c>
      <c r="B26" s="475"/>
      <c r="C26" s="475"/>
      <c r="D26" s="475"/>
      <c r="E26" s="475"/>
      <c r="F26" s="475"/>
      <c r="G26" s="476"/>
    </row>
    <row r="27" spans="1:8" ht="22.5" customHeight="1" x14ac:dyDescent="0.3">
      <c r="A27" s="468" t="s">
        <v>124</v>
      </c>
      <c r="B27" s="317"/>
      <c r="C27" s="469"/>
      <c r="D27" s="470" t="s">
        <v>77</v>
      </c>
      <c r="E27" s="317"/>
      <c r="F27" s="317"/>
      <c r="G27" s="471"/>
    </row>
    <row r="28" spans="1:8" ht="35.25" customHeight="1" thickBot="1" x14ac:dyDescent="0.35">
      <c r="A28" s="140" t="s">
        <v>47</v>
      </c>
      <c r="B28" s="44" t="s">
        <v>74</v>
      </c>
      <c r="C28" s="44" t="s">
        <v>6</v>
      </c>
      <c r="D28" s="45"/>
      <c r="E28" s="46" t="s">
        <v>49</v>
      </c>
      <c r="F28" s="47" t="s">
        <v>50</v>
      </c>
      <c r="G28" s="141" t="s">
        <v>51</v>
      </c>
    </row>
    <row r="29" spans="1:8" ht="45.75" customHeight="1" x14ac:dyDescent="0.3">
      <c r="A29" s="147" t="s">
        <v>52</v>
      </c>
      <c r="B29" s="49">
        <v>11301</v>
      </c>
      <c r="C29" s="50" t="s">
        <v>122</v>
      </c>
      <c r="D29" s="49" t="s">
        <v>42</v>
      </c>
      <c r="E29" s="81">
        <v>1</v>
      </c>
      <c r="F29" s="48">
        <v>660.46</v>
      </c>
      <c r="G29" s="148">
        <f>F29*E29</f>
        <v>660.46</v>
      </c>
    </row>
    <row r="30" spans="1:8" ht="15.75" customHeight="1" thickBot="1" x14ac:dyDescent="0.35">
      <c r="A30" s="154" t="s">
        <v>63</v>
      </c>
      <c r="B30" s="51">
        <v>88309</v>
      </c>
      <c r="C30" s="52" t="s">
        <v>75</v>
      </c>
      <c r="D30" s="51" t="s">
        <v>65</v>
      </c>
      <c r="E30" s="82">
        <v>1.5</v>
      </c>
      <c r="F30" s="53">
        <v>19.86</v>
      </c>
      <c r="G30" s="155">
        <f>F30*E30</f>
        <v>29.79</v>
      </c>
    </row>
    <row r="31" spans="1:8" ht="15.75" customHeight="1" thickBot="1" x14ac:dyDescent="0.35">
      <c r="A31" s="154" t="s">
        <v>63</v>
      </c>
      <c r="B31" s="51">
        <v>88316</v>
      </c>
      <c r="C31" s="52" t="s">
        <v>66</v>
      </c>
      <c r="D31" s="51" t="s">
        <v>65</v>
      </c>
      <c r="E31" s="82">
        <v>1.5</v>
      </c>
      <c r="F31" s="53">
        <v>15.65</v>
      </c>
      <c r="G31" s="155">
        <f>F31*E31</f>
        <v>23.475000000000001</v>
      </c>
    </row>
    <row r="32" spans="1:8" ht="60.75" customHeight="1" thickBot="1" x14ac:dyDescent="0.35">
      <c r="A32" s="149" t="s">
        <v>63</v>
      </c>
      <c r="B32" s="150">
        <v>87316</v>
      </c>
      <c r="C32" s="151" t="s">
        <v>105</v>
      </c>
      <c r="D32" s="150" t="s">
        <v>73</v>
      </c>
      <c r="E32" s="156">
        <v>7.4999999999999997E-3</v>
      </c>
      <c r="F32" s="152">
        <v>367.04</v>
      </c>
      <c r="G32" s="153">
        <f>F32*E32</f>
        <v>2.7528000000000001</v>
      </c>
    </row>
    <row r="33" spans="1:7" ht="15.75" customHeight="1" thickBot="1" x14ac:dyDescent="0.35">
      <c r="A33" s="136"/>
      <c r="B33" s="136"/>
      <c r="C33" s="136"/>
      <c r="D33" s="136"/>
      <c r="E33" s="136"/>
      <c r="F33" s="138" t="s">
        <v>71</v>
      </c>
      <c r="G33" s="157">
        <f>SUM(G29:G30)</f>
        <v>690.25</v>
      </c>
    </row>
    <row r="34" spans="1:7" ht="15.75" customHeight="1" thickBot="1" x14ac:dyDescent="0.35">
      <c r="A34" s="136"/>
      <c r="B34" s="136"/>
      <c r="C34" s="136"/>
      <c r="D34" s="136"/>
      <c r="E34" s="136"/>
      <c r="F34" s="137"/>
      <c r="G34" s="137"/>
    </row>
    <row r="35" spans="1:7" ht="15.75" customHeight="1" x14ac:dyDescent="0.3">
      <c r="A35" s="388" t="s">
        <v>137</v>
      </c>
      <c r="B35" s="413"/>
      <c r="C35" s="389"/>
      <c r="D35" s="388" t="s">
        <v>142</v>
      </c>
      <c r="E35" s="413"/>
      <c r="F35" s="413"/>
      <c r="G35" s="389"/>
    </row>
    <row r="36" spans="1:7" ht="15.75" customHeight="1" thickBot="1" x14ac:dyDescent="0.35">
      <c r="A36" s="390"/>
      <c r="B36" s="414"/>
      <c r="C36" s="391"/>
      <c r="D36" s="390"/>
      <c r="E36" s="414"/>
      <c r="F36" s="414"/>
      <c r="G36" s="391"/>
    </row>
    <row r="37" spans="1:7" ht="15.75" customHeight="1" x14ac:dyDescent="0.3">
      <c r="A37" s="402"/>
      <c r="B37" s="403"/>
      <c r="C37" s="344"/>
      <c r="D37" s="477"/>
      <c r="E37" s="478"/>
      <c r="F37" s="478"/>
      <c r="G37" s="479"/>
    </row>
    <row r="38" spans="1:7" ht="15.75" customHeight="1" x14ac:dyDescent="0.3">
      <c r="A38" s="356"/>
      <c r="B38" s="357"/>
      <c r="C38" s="465"/>
      <c r="D38" s="477"/>
      <c r="E38" s="478"/>
      <c r="F38" s="478"/>
      <c r="G38" s="479"/>
    </row>
    <row r="39" spans="1:7" ht="15.75" customHeight="1" x14ac:dyDescent="0.3">
      <c r="A39" s="418" t="s">
        <v>13</v>
      </c>
      <c r="B39" s="419"/>
      <c r="C39" s="420"/>
      <c r="D39" s="477"/>
      <c r="E39" s="478"/>
      <c r="F39" s="478"/>
      <c r="G39" s="479"/>
    </row>
    <row r="40" spans="1:7" ht="15.75" customHeight="1" thickBot="1" x14ac:dyDescent="0.35">
      <c r="A40" s="400" t="s">
        <v>14</v>
      </c>
      <c r="B40" s="401"/>
      <c r="C40" s="346"/>
      <c r="D40" s="480"/>
      <c r="E40" s="481"/>
      <c r="F40" s="481"/>
      <c r="G40" s="482"/>
    </row>
    <row r="41" spans="1:7" ht="15" customHeight="1" x14ac:dyDescent="0.3">
      <c r="A41" s="42"/>
      <c r="B41" s="42"/>
      <c r="C41" s="42"/>
      <c r="D41" s="42"/>
      <c r="E41" s="42"/>
      <c r="F41" s="42"/>
      <c r="G41" s="42"/>
    </row>
    <row r="42" spans="1:7" ht="15.75" customHeight="1" x14ac:dyDescent="0.3">
      <c r="A42" s="42"/>
      <c r="B42" s="42"/>
      <c r="C42" s="55"/>
      <c r="D42" s="42"/>
      <c r="E42" s="42"/>
      <c r="F42" s="42"/>
    </row>
    <row r="43" spans="1:7" ht="15.75" customHeight="1" x14ac:dyDescent="0.3">
      <c r="A43" s="42"/>
      <c r="B43" s="42"/>
      <c r="C43" s="55"/>
      <c r="D43" s="42"/>
      <c r="E43" s="42"/>
      <c r="F43" s="42"/>
    </row>
    <row r="44" spans="1:7" ht="15.75" customHeight="1" x14ac:dyDescent="0.3">
      <c r="A44" s="42"/>
      <c r="B44" s="42"/>
      <c r="C44" s="55"/>
      <c r="D44" s="42"/>
      <c r="E44" s="42"/>
      <c r="F44" s="42"/>
    </row>
    <row r="45" spans="1:7" ht="15.75" customHeight="1" x14ac:dyDescent="0.3">
      <c r="A45" s="40"/>
      <c r="B45" s="40"/>
      <c r="C45" s="40"/>
      <c r="D45" s="40"/>
      <c r="E45" s="40"/>
      <c r="F45" s="40"/>
    </row>
    <row r="46" spans="1:7" ht="15.75" customHeight="1" x14ac:dyDescent="0.3">
      <c r="A46" s="40"/>
      <c r="B46" s="40"/>
      <c r="C46" s="40"/>
      <c r="D46" s="40"/>
      <c r="E46" s="40"/>
      <c r="F46" s="40"/>
    </row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</sheetData>
  <mergeCells count="19">
    <mergeCell ref="A35:C36"/>
    <mergeCell ref="D35:G36"/>
    <mergeCell ref="A37:C38"/>
    <mergeCell ref="D37:G40"/>
    <mergeCell ref="A39:C39"/>
    <mergeCell ref="A40:C40"/>
    <mergeCell ref="A18:G18"/>
    <mergeCell ref="A19:C19"/>
    <mergeCell ref="D19:G19"/>
    <mergeCell ref="A26:G26"/>
    <mergeCell ref="A27:C27"/>
    <mergeCell ref="D27:G27"/>
    <mergeCell ref="A7:C7"/>
    <mergeCell ref="D7:G7"/>
    <mergeCell ref="B1:G1"/>
    <mergeCell ref="B2:G2"/>
    <mergeCell ref="B3:G3"/>
    <mergeCell ref="B4:G4"/>
    <mergeCell ref="A6:G6"/>
  </mergeCells>
  <conditionalFormatting sqref="A9:F15">
    <cfRule type="expression" dxfId="75" priority="15" stopIfTrue="1">
      <formula>AND($A9&lt;&gt;"COMPOSICAO",$A9&lt;&gt;"INSUMO",$A9&lt;&gt;"")</formula>
    </cfRule>
    <cfRule type="expression" dxfId="74" priority="16" stopIfTrue="1">
      <formula>AND(OR($A9="COMPOSICAO",$A9="INSUMO",$A9&lt;&gt;""),$A9&lt;&gt;"")</formula>
    </cfRule>
  </conditionalFormatting>
  <conditionalFormatting sqref="A21:F23">
    <cfRule type="expression" dxfId="73" priority="9" stopIfTrue="1">
      <formula>AND($A21&lt;&gt;"COMPOSICAO",$A21&lt;&gt;"INSUMO",$A21&lt;&gt;"")</formula>
    </cfRule>
    <cfRule type="expression" dxfId="72" priority="10" stopIfTrue="1">
      <formula>AND(OR($A21="COMPOSICAO",$A21="INSUMO",$A21&lt;&gt;""),$A21&lt;&gt;"")</formula>
    </cfRule>
  </conditionalFormatting>
  <conditionalFormatting sqref="A29:F32">
    <cfRule type="expression" dxfId="71" priority="1" stopIfTrue="1">
      <formula>AND($A29&lt;&gt;"COMPOSICAO",$A29&lt;&gt;"INSUMO",$A29&lt;&gt;"")</formula>
    </cfRule>
    <cfRule type="expression" dxfId="70" priority="2" stopIfTrue="1">
      <formula>AND(OR($A29="COMPOSICAO",$A29="INSUMO",$A29&lt;&gt;""),$A29&lt;&gt;"")</formula>
    </cfRule>
  </conditionalFormatting>
  <conditionalFormatting sqref="G9:G15">
    <cfRule type="expression" dxfId="69" priority="17" stopIfTrue="1">
      <formula>AND(#REF!&lt;&gt;"COMPOSICAO",#REF!&lt;&gt;"INSUMO",#REF!&lt;&gt;"")</formula>
    </cfRule>
    <cfRule type="expression" dxfId="68" priority="18" stopIfTrue="1">
      <formula>AND(OR(#REF!="COMPOSICAO",#REF!="INSUMO",#REF!&lt;&gt;""),#REF!&lt;&gt;"")</formula>
    </cfRule>
  </conditionalFormatting>
  <conditionalFormatting sqref="G21:G23">
    <cfRule type="expression" dxfId="67" priority="11" stopIfTrue="1">
      <formula>AND(#REF!&lt;&gt;"COMPOSICAO",#REF!&lt;&gt;"INSUMO",#REF!&lt;&gt;"")</formula>
    </cfRule>
    <cfRule type="expression" dxfId="66" priority="12" stopIfTrue="1">
      <formula>AND(OR(#REF!="COMPOSICAO",#REF!="INSUMO",#REF!&lt;&gt;""),#REF!&lt;&gt;"")</formula>
    </cfRule>
  </conditionalFormatting>
  <conditionalFormatting sqref="G29:G32">
    <cfRule type="expression" dxfId="65" priority="3" stopIfTrue="1">
      <formula>AND(#REF!&lt;&gt;"COMPOSICAO",#REF!&lt;&gt;"INSUMO",#REF!&lt;&gt;"")</formula>
    </cfRule>
    <cfRule type="expression" dxfId="64" priority="4" stopIfTrue="1">
      <formula>AND(OR(#REF!="COMPOSICAO",#REF!="INSUMO",#REF!&lt;&gt;""),#REF!&lt;&gt;"")</formula>
    </cfRule>
  </conditionalFormatting>
  <pageMargins left="0.511811024" right="0.511811024" top="1.6979166666666667" bottom="1.0729166666666667" header="0" footer="0"/>
  <pageSetup paperSize="9" fitToHeight="0" orientation="portrait" r:id="rId1"/>
  <headerFooter>
    <oddFooter>&amp;CRua Rui Barbosa, 310 - Centro - Araputanga-MT – Cel: (65) 99613-9294 E-mail: carolina.o.almeida@hotmail.com / escalaprojeta@gmail.com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993"/>
  <sheetViews>
    <sheetView view="pageLayout" topLeftCell="A4" zoomScaleNormal="100" workbookViewId="0">
      <selection activeCell="E24" sqref="E24"/>
    </sheetView>
  </sheetViews>
  <sheetFormatPr defaultColWidth="12.6640625" defaultRowHeight="15" customHeight="1" x14ac:dyDescent="0.3"/>
  <cols>
    <col min="1" max="1" width="11.83203125" customWidth="1"/>
    <col min="2" max="2" width="50.5" customWidth="1"/>
    <col min="3" max="3" width="14.5" customWidth="1"/>
    <col min="4" max="4" width="10.1640625" customWidth="1"/>
    <col min="5" max="5" width="13.1640625" customWidth="1"/>
    <col min="6" max="6" width="11.33203125" customWidth="1"/>
    <col min="7" max="7" width="12.83203125" customWidth="1"/>
    <col min="8" max="8" width="10.25" customWidth="1"/>
    <col min="9" max="9" width="15" customWidth="1"/>
    <col min="10" max="10" width="9.25" customWidth="1"/>
    <col min="11" max="11" width="9.5" customWidth="1"/>
    <col min="12" max="23" width="7.6640625" customWidth="1"/>
  </cols>
  <sheetData>
    <row r="1" spans="1:11" ht="14" x14ac:dyDescent="0.3">
      <c r="A1" s="123" t="s">
        <v>0</v>
      </c>
      <c r="B1" s="504" t="str">
        <f>PLANILHA!B1</f>
        <v>Construção de rede de drenagem pluvial</v>
      </c>
      <c r="C1" s="505"/>
      <c r="D1" s="505"/>
      <c r="E1" s="505"/>
      <c r="F1" s="505"/>
      <c r="G1" s="505"/>
      <c r="H1" s="505"/>
      <c r="I1" s="505"/>
      <c r="J1" s="505"/>
      <c r="K1" s="506"/>
    </row>
    <row r="2" spans="1:11" ht="14" x14ac:dyDescent="0.3">
      <c r="A2" s="124" t="s">
        <v>1</v>
      </c>
      <c r="B2" s="507" t="str">
        <f>PLANILHA!B2</f>
        <v>Prefeitura Municipal de Indiavaí</v>
      </c>
      <c r="C2" s="313"/>
      <c r="D2" s="313"/>
      <c r="E2" s="313"/>
      <c r="F2" s="313"/>
      <c r="G2" s="313"/>
      <c r="H2" s="313"/>
      <c r="I2" s="313"/>
      <c r="J2" s="313"/>
      <c r="K2" s="508"/>
    </row>
    <row r="3" spans="1:11" ht="14" x14ac:dyDescent="0.3">
      <c r="A3" s="124" t="s">
        <v>2</v>
      </c>
      <c r="B3" s="507" t="str">
        <f>PLANILHA!B3</f>
        <v>Avenida Governador Jayme Campos</v>
      </c>
      <c r="C3" s="313"/>
      <c r="D3" s="313"/>
      <c r="E3" s="313"/>
      <c r="F3" s="313"/>
      <c r="G3" s="313"/>
      <c r="H3" s="313"/>
      <c r="I3" s="313"/>
      <c r="J3" s="313"/>
      <c r="K3" s="508"/>
    </row>
    <row r="4" spans="1:11" ht="14.5" thickBot="1" x14ac:dyDescent="0.35">
      <c r="A4" s="125" t="s">
        <v>3</v>
      </c>
      <c r="B4" s="509" t="str">
        <f>DESCRIÇÃO!B4</f>
        <v>30 de julho de 2021</v>
      </c>
      <c r="C4" s="313"/>
      <c r="D4" s="313"/>
      <c r="E4" s="313"/>
      <c r="F4" s="313"/>
      <c r="G4" s="313"/>
      <c r="H4" s="313"/>
      <c r="I4" s="313"/>
      <c r="J4" s="313"/>
      <c r="K4" s="508"/>
    </row>
    <row r="5" spans="1:11" ht="14.5" thickBot="1" x14ac:dyDescent="0.35">
      <c r="A5" s="519" t="s">
        <v>78</v>
      </c>
      <c r="B5" s="384"/>
      <c r="C5" s="384"/>
      <c r="D5" s="384"/>
      <c r="E5" s="384"/>
      <c r="F5" s="384"/>
      <c r="G5" s="384"/>
      <c r="H5" s="384"/>
      <c r="I5" s="384"/>
      <c r="J5" s="384"/>
      <c r="K5" s="520"/>
    </row>
    <row r="6" spans="1:11" ht="14" x14ac:dyDescent="0.3">
      <c r="A6" s="510" t="s">
        <v>74</v>
      </c>
      <c r="B6" s="513" t="s">
        <v>79</v>
      </c>
      <c r="C6" s="516" t="s">
        <v>80</v>
      </c>
      <c r="D6" s="517"/>
      <c r="E6" s="521" t="s">
        <v>81</v>
      </c>
      <c r="F6" s="341"/>
      <c r="G6" s="341"/>
      <c r="H6" s="341"/>
      <c r="I6" s="341"/>
      <c r="J6" s="341"/>
      <c r="K6" s="522"/>
    </row>
    <row r="7" spans="1:11" ht="14" x14ac:dyDescent="0.3">
      <c r="A7" s="511"/>
      <c r="B7" s="514"/>
      <c r="C7" s="518"/>
      <c r="D7" s="342"/>
      <c r="E7" s="523" t="s">
        <v>82</v>
      </c>
      <c r="F7" s="314"/>
      <c r="G7" s="523" t="s">
        <v>83</v>
      </c>
      <c r="H7" s="314"/>
      <c r="I7" s="523" t="s">
        <v>84</v>
      </c>
      <c r="J7" s="314"/>
      <c r="K7" s="126" t="s">
        <v>12</v>
      </c>
    </row>
    <row r="8" spans="1:11" ht="14" x14ac:dyDescent="0.3">
      <c r="A8" s="512"/>
      <c r="B8" s="515"/>
      <c r="C8" s="59" t="s">
        <v>85</v>
      </c>
      <c r="D8" s="59" t="s">
        <v>86</v>
      </c>
      <c r="E8" s="59" t="s">
        <v>85</v>
      </c>
      <c r="F8" s="59" t="s">
        <v>86</v>
      </c>
      <c r="G8" s="59" t="s">
        <v>85</v>
      </c>
      <c r="H8" s="59" t="s">
        <v>86</v>
      </c>
      <c r="I8" s="59" t="s">
        <v>85</v>
      </c>
      <c r="J8" s="59" t="s">
        <v>86</v>
      </c>
      <c r="K8" s="127" t="s">
        <v>86</v>
      </c>
    </row>
    <row r="9" spans="1:11" ht="14" x14ac:dyDescent="0.3">
      <c r="A9" s="128" t="str">
        <f>DESCRIÇÃO!A8</f>
        <v>1.0</v>
      </c>
      <c r="B9" s="58" t="str">
        <f>DESCRIÇÃO!B8</f>
        <v>SERVIÇOS PRELIMINARES</v>
      </c>
      <c r="C9" s="60" t="e">
        <f>DESCRIÇÃO!F8</f>
        <v>#REF!</v>
      </c>
      <c r="D9" s="61" t="e">
        <f>(C9/$C$13)*100</f>
        <v>#REF!</v>
      </c>
      <c r="E9" s="60" t="e">
        <f>C9*(F9/100)</f>
        <v>#REF!</v>
      </c>
      <c r="F9" s="59">
        <v>100</v>
      </c>
      <c r="G9" s="60" t="e">
        <f>C9*(H9/100)</f>
        <v>#REF!</v>
      </c>
      <c r="H9" s="59">
        <v>0</v>
      </c>
      <c r="I9" s="60" t="e">
        <f>C9*(J9/100)</f>
        <v>#REF!</v>
      </c>
      <c r="J9" s="59">
        <v>0</v>
      </c>
      <c r="K9" s="127">
        <f>F9+H9+J9</f>
        <v>100</v>
      </c>
    </row>
    <row r="10" spans="1:11" ht="14" x14ac:dyDescent="0.3">
      <c r="A10" s="128" t="str">
        <f>DESCRIÇÃO!A9</f>
        <v>2.0</v>
      </c>
      <c r="B10" s="62" t="str">
        <f>DESCRIÇÃO!B9</f>
        <v>MOVIMENTAÇÃO DE TERRA</v>
      </c>
      <c r="C10" s="60">
        <f>DESCRIÇÃO!F9</f>
        <v>111628.34357606295</v>
      </c>
      <c r="D10" s="61" t="e">
        <f>(C10/$C$13)*100</f>
        <v>#REF!</v>
      </c>
      <c r="E10" s="60">
        <f>C10*(F10/100)</f>
        <v>0</v>
      </c>
      <c r="F10" s="59">
        <v>0</v>
      </c>
      <c r="G10" s="60">
        <f>C10*(H10/100)</f>
        <v>111628.34357606295</v>
      </c>
      <c r="H10" s="59">
        <v>100</v>
      </c>
      <c r="I10" s="60">
        <f>C10*(J10/100)</f>
        <v>0</v>
      </c>
      <c r="J10" s="59">
        <v>0</v>
      </c>
      <c r="K10" s="127">
        <f>F10+H10+J10</f>
        <v>100</v>
      </c>
    </row>
    <row r="11" spans="1:11" ht="14" x14ac:dyDescent="0.3">
      <c r="A11" s="128" t="str">
        <f>DESCRIÇÃO!A10</f>
        <v>3.0</v>
      </c>
      <c r="B11" s="58" t="str">
        <f>DESCRIÇÃO!B10</f>
        <v>REDE DE DRENAGEM</v>
      </c>
      <c r="C11" s="60" t="e">
        <f>DESCRIÇÃO!F10</f>
        <v>#REF!</v>
      </c>
      <c r="D11" s="61" t="e">
        <f>(C11/$C$13)*100</f>
        <v>#REF!</v>
      </c>
      <c r="E11" s="60" t="e">
        <f>C11*(F11/100)</f>
        <v>#REF!</v>
      </c>
      <c r="F11" s="59">
        <v>0</v>
      </c>
      <c r="G11" s="60" t="e">
        <f>C11*(H11/100)</f>
        <v>#REF!</v>
      </c>
      <c r="H11" s="59">
        <v>100</v>
      </c>
      <c r="I11" s="60" t="e">
        <f>C11*(J11/100)</f>
        <v>#REF!</v>
      </c>
      <c r="J11" s="59">
        <v>0</v>
      </c>
      <c r="K11" s="127">
        <f>F11+H11+J11</f>
        <v>100</v>
      </c>
    </row>
    <row r="12" spans="1:11" ht="14.5" thickBot="1" x14ac:dyDescent="0.35">
      <c r="A12" s="128" t="str">
        <f>DESCRIÇÃO!A11</f>
        <v>4.0</v>
      </c>
      <c r="B12" s="58" t="str">
        <f>DESCRIÇÃO!B11</f>
        <v>TRANSPORTE</v>
      </c>
      <c r="C12" s="60">
        <f>DESCRIÇÃO!F11</f>
        <v>8585.1133804800011</v>
      </c>
      <c r="D12" s="61" t="e">
        <f>(C12/$C$13)*100</f>
        <v>#REF!</v>
      </c>
      <c r="E12" s="60">
        <f>C12*(F12/100)</f>
        <v>0</v>
      </c>
      <c r="F12" s="59">
        <v>0</v>
      </c>
      <c r="G12" s="60">
        <f>C12*(H12/100)</f>
        <v>0</v>
      </c>
      <c r="H12" s="59">
        <v>0</v>
      </c>
      <c r="I12" s="60">
        <f>C12*(J12/100)</f>
        <v>8585.1133804800011</v>
      </c>
      <c r="J12" s="59">
        <v>100</v>
      </c>
      <c r="K12" s="127">
        <f>F12+H12+J12</f>
        <v>100</v>
      </c>
    </row>
    <row r="13" spans="1:11" ht="14.5" thickBot="1" x14ac:dyDescent="0.35">
      <c r="A13" s="129"/>
      <c r="B13" s="63" t="s">
        <v>87</v>
      </c>
      <c r="C13" s="64" t="e">
        <f>SUM(C9:C12)</f>
        <v>#REF!</v>
      </c>
      <c r="D13" s="65" t="e">
        <f>SUM(D9:D12)</f>
        <v>#REF!</v>
      </c>
      <c r="E13" s="66" t="e">
        <f>SUM(E9:E12)</f>
        <v>#REF!</v>
      </c>
      <c r="F13" s="130" t="e">
        <f>(E13/C13)*100</f>
        <v>#REF!</v>
      </c>
      <c r="G13" s="67" t="e">
        <f>SUM(G9:G12)</f>
        <v>#REF!</v>
      </c>
      <c r="H13" s="130" t="e">
        <f>(G13/C13)*100</f>
        <v>#REF!</v>
      </c>
      <c r="I13" s="67" t="e">
        <f>SUM(I9:I12)</f>
        <v>#REF!</v>
      </c>
      <c r="J13" s="130" t="e">
        <f>(I13/C13)*100</f>
        <v>#REF!</v>
      </c>
      <c r="K13" s="131" t="e">
        <f>H13+F13+J13</f>
        <v>#REF!</v>
      </c>
    </row>
    <row r="14" spans="1:11" ht="15.75" customHeight="1" thickBot="1" x14ac:dyDescent="0.35">
      <c r="A14" s="132"/>
      <c r="B14" s="68" t="s">
        <v>88</v>
      </c>
      <c r="C14" s="69"/>
      <c r="D14" s="70"/>
      <c r="E14" s="71" t="e">
        <f>SUM(E9:E13)/2</f>
        <v>#REF!</v>
      </c>
      <c r="F14" s="72" t="e">
        <f>F13</f>
        <v>#REF!</v>
      </c>
      <c r="G14" s="73" t="e">
        <f>E13+G13</f>
        <v>#REF!</v>
      </c>
      <c r="H14" s="73" t="e">
        <f>H13+F14</f>
        <v>#REF!</v>
      </c>
      <c r="I14" s="73" t="e">
        <f>G14+I13</f>
        <v>#REF!</v>
      </c>
      <c r="J14" s="73" t="e">
        <f>J13+H14</f>
        <v>#REF!</v>
      </c>
      <c r="K14" s="133"/>
    </row>
    <row r="15" spans="1:11" ht="15.75" customHeight="1" x14ac:dyDescent="0.3">
      <c r="A15" s="388" t="s">
        <v>137</v>
      </c>
      <c r="B15" s="413"/>
      <c r="C15" s="413"/>
      <c r="D15" s="388" t="s">
        <v>138</v>
      </c>
      <c r="E15" s="413"/>
      <c r="F15" s="389"/>
      <c r="G15" s="492" t="s">
        <v>142</v>
      </c>
      <c r="H15" s="493"/>
      <c r="I15" s="493"/>
      <c r="J15" s="493"/>
      <c r="K15" s="494"/>
    </row>
    <row r="16" spans="1:11" ht="15.75" customHeight="1" thickBot="1" x14ac:dyDescent="0.35">
      <c r="A16" s="390"/>
      <c r="B16" s="414"/>
      <c r="C16" s="414"/>
      <c r="D16" s="390"/>
      <c r="E16" s="414"/>
      <c r="F16" s="391"/>
      <c r="G16" s="495"/>
      <c r="H16" s="496"/>
      <c r="I16" s="496"/>
      <c r="J16" s="496"/>
      <c r="K16" s="497"/>
    </row>
    <row r="17" spans="1:11" ht="15.75" customHeight="1" x14ac:dyDescent="0.3">
      <c r="A17" s="462"/>
      <c r="B17" s="463"/>
      <c r="C17" s="463"/>
      <c r="D17" s="462"/>
      <c r="E17" s="463"/>
      <c r="F17" s="464"/>
      <c r="G17" s="498"/>
      <c r="H17" s="499"/>
      <c r="I17" s="499"/>
      <c r="J17" s="499"/>
      <c r="K17" s="500"/>
    </row>
    <row r="18" spans="1:11" ht="15.75" customHeight="1" x14ac:dyDescent="0.3">
      <c r="A18" s="356"/>
      <c r="B18" s="357"/>
      <c r="C18" s="357"/>
      <c r="D18" s="356"/>
      <c r="E18" s="357"/>
      <c r="F18" s="465"/>
      <c r="G18" s="501"/>
      <c r="H18" s="502"/>
      <c r="I18" s="502"/>
      <c r="J18" s="502"/>
      <c r="K18" s="503"/>
    </row>
    <row r="19" spans="1:11" ht="15.75" customHeight="1" x14ac:dyDescent="0.3">
      <c r="A19" s="418" t="s">
        <v>13</v>
      </c>
      <c r="B19" s="419"/>
      <c r="C19" s="419"/>
      <c r="D19" s="483" t="s">
        <v>140</v>
      </c>
      <c r="E19" s="484"/>
      <c r="F19" s="485"/>
      <c r="G19" s="486"/>
      <c r="H19" s="487"/>
      <c r="I19" s="487"/>
      <c r="J19" s="487"/>
      <c r="K19" s="488"/>
    </row>
    <row r="20" spans="1:11" ht="15.75" customHeight="1" thickBot="1" x14ac:dyDescent="0.35">
      <c r="A20" s="400" t="s">
        <v>14</v>
      </c>
      <c r="B20" s="401"/>
      <c r="C20" s="401"/>
      <c r="D20" s="390" t="s">
        <v>139</v>
      </c>
      <c r="E20" s="414"/>
      <c r="F20" s="391"/>
      <c r="G20" s="489"/>
      <c r="H20" s="490"/>
      <c r="I20" s="490"/>
      <c r="J20" s="490"/>
      <c r="K20" s="491"/>
    </row>
    <row r="21" spans="1:11" ht="15.75" customHeight="1" x14ac:dyDescent="0.3">
      <c r="E21" s="12"/>
    </row>
    <row r="22" spans="1:11" ht="15.75" customHeight="1" x14ac:dyDescent="0.3"/>
    <row r="23" spans="1:11" ht="15.75" customHeight="1" x14ac:dyDescent="0.3"/>
    <row r="24" spans="1:11" ht="15.75" customHeight="1" x14ac:dyDescent="0.3"/>
    <row r="25" spans="1:11" ht="15.75" customHeight="1" x14ac:dyDescent="0.3"/>
    <row r="26" spans="1:11" ht="15.75" customHeight="1" x14ac:dyDescent="0.3"/>
    <row r="27" spans="1:11" ht="15.75" customHeight="1" x14ac:dyDescent="0.3"/>
    <row r="28" spans="1:11" ht="15.75" customHeight="1" x14ac:dyDescent="0.3"/>
    <row r="29" spans="1:11" ht="15.75" customHeight="1" x14ac:dyDescent="0.3"/>
    <row r="30" spans="1:11" ht="15.75" customHeight="1" x14ac:dyDescent="0.3"/>
    <row r="31" spans="1:11" ht="15.75" customHeight="1" x14ac:dyDescent="0.3"/>
    <row r="32" spans="1:1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</sheetData>
  <mergeCells count="25">
    <mergeCell ref="B1:K1"/>
    <mergeCell ref="B2:K2"/>
    <mergeCell ref="B3:K3"/>
    <mergeCell ref="B4:K4"/>
    <mergeCell ref="A6:A8"/>
    <mergeCell ref="B6:B8"/>
    <mergeCell ref="C6:D7"/>
    <mergeCell ref="A5:K5"/>
    <mergeCell ref="E6:K6"/>
    <mergeCell ref="E7:F7"/>
    <mergeCell ref="G7:H7"/>
    <mergeCell ref="I7:J7"/>
    <mergeCell ref="A15:C16"/>
    <mergeCell ref="D15:F16"/>
    <mergeCell ref="G15:K16"/>
    <mergeCell ref="A17:C18"/>
    <mergeCell ref="D17:F18"/>
    <mergeCell ref="G17:K17"/>
    <mergeCell ref="G18:K18"/>
    <mergeCell ref="A19:C19"/>
    <mergeCell ref="D19:F19"/>
    <mergeCell ref="G19:K19"/>
    <mergeCell ref="A20:C20"/>
    <mergeCell ref="D20:F20"/>
    <mergeCell ref="G20:K20"/>
  </mergeCells>
  <pageMargins left="0.511811024" right="0.511811024" top="1.0237499999999999" bottom="0.92531249999999998" header="0" footer="0"/>
  <pageSetup paperSize="9" scale="74" fitToHeight="0" orientation="landscape" r:id="rId1"/>
  <headerFooter>
    <oddFooter>&amp;CRua Rui Barbosa, 310 - Centro - Araputanga-MT – Cel: (65) 99613-9294 E-mail: carolina.o.almeida@hotmail.com / escalaprojeta@gmail.com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12"/>
  <sheetViews>
    <sheetView view="pageBreakPreview" zoomScaleNormal="100" zoomScaleSheetLayoutView="100" workbookViewId="0">
      <selection activeCell="D19" sqref="D19"/>
    </sheetView>
  </sheetViews>
  <sheetFormatPr defaultRowHeight="14" x14ac:dyDescent="0.3"/>
  <cols>
    <col min="1" max="1" width="15.5" customWidth="1"/>
    <col min="2" max="2" width="20.6640625" customWidth="1"/>
    <col min="3" max="3" width="34.75" customWidth="1"/>
    <col min="4" max="4" width="18.25" customWidth="1"/>
    <col min="5" max="5" width="14.5" customWidth="1"/>
    <col min="6" max="6" width="13.1640625" customWidth="1"/>
  </cols>
  <sheetData>
    <row r="1" spans="1:8" x14ac:dyDescent="0.3">
      <c r="A1" s="275" t="str">
        <f>'[1]PLANILHA NÃO DESONERADO'!A1</f>
        <v>Obra:</v>
      </c>
      <c r="B1" s="543" t="str">
        <f>'PLANILHA ORÇAMENTÁRIA'!B1:F1</f>
        <v>CONSTRUÇÃO DE PÁTIO DA SECRETARIA DE OBRAS MUNICIPAL</v>
      </c>
      <c r="C1" s="544"/>
      <c r="D1" s="544"/>
      <c r="E1" s="544"/>
      <c r="F1" s="544"/>
    </row>
    <row r="2" spans="1:8" x14ac:dyDescent="0.3">
      <c r="A2" s="275" t="str">
        <f>'[1]PLANILHA NÃO DESONERADO'!A2</f>
        <v>Proprietário:</v>
      </c>
      <c r="B2" s="543" t="str">
        <f>'PLANILHA ORÇAMENTÁRIA'!B2:F2</f>
        <v>PREFEITURA MUNICIPAL DE ARAPUTANGA</v>
      </c>
      <c r="C2" s="544"/>
      <c r="D2" s="544"/>
      <c r="E2" s="544"/>
      <c r="F2" s="544"/>
    </row>
    <row r="3" spans="1:8" x14ac:dyDescent="0.3">
      <c r="A3" s="275" t="str">
        <f>'[1]PLANILHA NÃO DESONERADO'!A3</f>
        <v>Local:</v>
      </c>
      <c r="B3" s="543" t="str">
        <f>'PLANILHA ORÇAMENTÁRIA'!B3:F3</f>
        <v>AVENIDA PROJETADA, DISTRITO INDUSTRIAL</v>
      </c>
      <c r="C3" s="544"/>
      <c r="D3" s="544"/>
      <c r="E3" s="544"/>
      <c r="F3" s="544"/>
    </row>
    <row r="4" spans="1:8" x14ac:dyDescent="0.3">
      <c r="A4" s="275" t="str">
        <f>'[1]PLANILHA NÃO DESONERADO'!A4</f>
        <v>Data:</v>
      </c>
      <c r="B4" s="545">
        <f ca="1">'PLANILHA ORÇAMENTÁRIA'!B4:F4</f>
        <v>45972</v>
      </c>
      <c r="C4" s="544"/>
      <c r="D4" s="544"/>
      <c r="E4" s="544"/>
      <c r="F4" s="544"/>
    </row>
    <row r="5" spans="1:8" x14ac:dyDescent="0.3">
      <c r="A5" s="546"/>
      <c r="B5" s="546"/>
      <c r="C5" s="546"/>
      <c r="D5" s="546"/>
      <c r="E5" s="546"/>
      <c r="F5" s="546"/>
    </row>
    <row r="6" spans="1:8" x14ac:dyDescent="0.3">
      <c r="A6" s="547" t="s">
        <v>430</v>
      </c>
      <c r="B6" s="547"/>
      <c r="C6" s="547"/>
      <c r="D6" s="547"/>
      <c r="E6" s="547"/>
      <c r="F6" s="547"/>
    </row>
    <row r="7" spans="1:8" ht="27.75" customHeight="1" x14ac:dyDescent="0.3">
      <c r="A7" s="546"/>
      <c r="B7" s="546"/>
      <c r="C7" s="546"/>
      <c r="D7" s="546"/>
      <c r="E7" s="546"/>
      <c r="F7" s="546"/>
    </row>
    <row r="8" spans="1:8" ht="21" customHeight="1" x14ac:dyDescent="0.3">
      <c r="A8" s="548" t="s">
        <v>464</v>
      </c>
      <c r="B8" s="549"/>
      <c r="C8" s="549"/>
      <c r="D8" s="549"/>
      <c r="E8" s="549"/>
      <c r="F8" s="549"/>
    </row>
    <row r="9" spans="1:8" x14ac:dyDescent="0.3">
      <c r="A9" s="216" t="s">
        <v>431</v>
      </c>
      <c r="B9" s="216" t="s">
        <v>6</v>
      </c>
      <c r="C9" s="216" t="s">
        <v>432</v>
      </c>
      <c r="D9" s="217" t="s">
        <v>455</v>
      </c>
      <c r="E9" s="539" t="s">
        <v>456</v>
      </c>
      <c r="F9" s="539"/>
    </row>
    <row r="10" spans="1:8" ht="96.75" customHeight="1" x14ac:dyDescent="0.3">
      <c r="A10" s="260" t="s">
        <v>436</v>
      </c>
      <c r="B10" s="260" t="s">
        <v>437</v>
      </c>
      <c r="C10" s="268" t="s">
        <v>438</v>
      </c>
      <c r="D10" s="255">
        <f>ROUNDUP(((((1.15*0.95*3)+(0.65*0.8)+(1.15*1.3*2)+(0.75*0.8*2)+(1.35*1.5)+(0.85*0.95)+(0.95*1.1*3)+(1.1*1.25*3)+(0.65*0.75)+(0.65*0.8*3)+(1.05*1.2*3)+(0.8*1)+(0.9*1.05)+(1.15*1.3)+(0.8*0.95))*1)+(1.79*1.79*1.95)),2)</f>
        <v>34.159999999999997</v>
      </c>
      <c r="E10" s="539"/>
      <c r="F10" s="539"/>
    </row>
    <row r="11" spans="1:8" ht="84.75" customHeight="1" x14ac:dyDescent="0.3">
      <c r="A11" s="260" t="s">
        <v>436</v>
      </c>
      <c r="B11" s="260" t="s">
        <v>445</v>
      </c>
      <c r="C11" s="260" t="s">
        <v>439</v>
      </c>
      <c r="D11" s="255">
        <f>ROUNDUP(((9.45+24.05+4.3+5.2+5.2+6.05+3.9+13.2+18.7+5.35+7.7+5.35+7.85+3.75+5.35+7.7+9.28+5.35+7.7+11.4+4.95+2.03+2.7+2.85+8.85)*0.25*0.4),2)</f>
        <v>18.830000000000002</v>
      </c>
      <c r="E11" s="539"/>
      <c r="F11" s="539"/>
    </row>
    <row r="12" spans="1:8" ht="148.5" customHeight="1" x14ac:dyDescent="0.3">
      <c r="A12" s="260" t="s">
        <v>436</v>
      </c>
      <c r="B12" s="260" t="s">
        <v>440</v>
      </c>
      <c r="C12" s="260" t="s">
        <v>442</v>
      </c>
      <c r="D12" s="255">
        <f>ROUNDUP((((1.15*0.95*3)+(0.65*0.8)+(1.15*1.3*2)+(0.75*0.8*2)+(1.35*1.5)+(0.85*0.95)+(0.95*1.1*3)+(1.1*1.25*3)+(0.65*0.75)+(0.65*0.8*3)+(1.05*1.2*3)+(0.8*1)+(0.9*1.05)+(1.15*1.3)+(0.8*0.95))+(1.79*1.79)+((9.45+24.05+4.3+5.2+5.2+6.05+3.9+13.2+18.7+5.35+7.7+5.35+7.85+3.75+5.35+7.7+9.28+5.35+7.7+11.4+4.95+2.03+2.7+2.85+8.85)*0.25)),2)</f>
        <v>78.17</v>
      </c>
      <c r="E12" s="539"/>
      <c r="F12" s="539"/>
      <c r="H12" s="159"/>
    </row>
    <row r="13" spans="1:8" ht="91.5" customHeight="1" x14ac:dyDescent="0.3">
      <c r="A13" s="260" t="s">
        <v>436</v>
      </c>
      <c r="B13" s="260" t="s">
        <v>443</v>
      </c>
      <c r="C13" s="268" t="s">
        <v>441</v>
      </c>
      <c r="D13" s="255">
        <f>ROUNDUP((((1.15*0.95*3)+(0.65*0.8)+(1.15*1.3*2)+(0.75*0.8*2)+(1.35*1.5)+(0.85*0.95)+(0.95*1.1*3)+(1.1*1.25*3)+(0.65*0.75)+(0.65*0.8*3)+(1.05*1.2*3)+(0.8*1)+(0.9*1.05)+(1.15*1.3)+(0.8*0.95))+(1.79*1.79)),2)</f>
        <v>31.12</v>
      </c>
      <c r="E13" s="539"/>
      <c r="F13" s="539"/>
    </row>
    <row r="14" spans="1:8" ht="27.75" customHeight="1" x14ac:dyDescent="0.3">
      <c r="A14" s="260" t="s">
        <v>436</v>
      </c>
      <c r="B14" s="260" t="s">
        <v>444</v>
      </c>
      <c r="C14" s="260" t="s">
        <v>446</v>
      </c>
      <c r="D14" s="255">
        <f>(34.16+18.83)-(10.87+11.19)</f>
        <v>30.929999999999996</v>
      </c>
      <c r="E14" s="539"/>
      <c r="F14" s="539"/>
    </row>
    <row r="15" spans="1:8" ht="130.5" customHeight="1" x14ac:dyDescent="0.3">
      <c r="A15" s="260" t="s">
        <v>436</v>
      </c>
      <c r="B15" s="260" t="s">
        <v>351</v>
      </c>
      <c r="C15" s="260" t="s">
        <v>454</v>
      </c>
      <c r="D15" s="255">
        <f>ROUNDUP((((9.45+24.05+4.3+5.2+5.2+6.05+3.9+13.2+18.7+5.35+7.7+5.35+7.85+3.75+5.35+7.7+9.28+5.35+7.7+11.4+4.95+2.03+2.7+2.85+8.85))*0.3*2)+((9.45+24.05+4.3+5.2+5.2+6.05+3.9+13.2+18.7+5.35+7.7+5.35+7.85+3.75+5.35+7.7+9.28+5.35+7.7+11.4+4.95+2.03+2.7+2.85+8.85)*0.15),2)</f>
        <v>141.16</v>
      </c>
      <c r="E15" s="539"/>
      <c r="F15" s="539"/>
    </row>
    <row r="16" spans="1:8" ht="39" customHeight="1" x14ac:dyDescent="0.3">
      <c r="A16" s="534"/>
      <c r="B16" s="535"/>
      <c r="C16" s="535"/>
      <c r="D16" s="535"/>
      <c r="E16" s="535"/>
      <c r="F16" s="536"/>
    </row>
    <row r="17" spans="1:6" ht="28.5" customHeight="1" x14ac:dyDescent="0.3">
      <c r="A17" s="550" t="s">
        <v>637</v>
      </c>
      <c r="B17" s="551"/>
      <c r="C17" s="551"/>
      <c r="D17" s="551"/>
      <c r="E17" s="551"/>
      <c r="F17" s="551"/>
    </row>
    <row r="18" spans="1:6" ht="21" customHeight="1" x14ac:dyDescent="0.3">
      <c r="A18" s="216" t="s">
        <v>431</v>
      </c>
      <c r="B18" s="216" t="s">
        <v>6</v>
      </c>
      <c r="C18" s="216" t="s">
        <v>432</v>
      </c>
      <c r="D18" s="217" t="s">
        <v>433</v>
      </c>
      <c r="E18" s="524"/>
      <c r="F18" s="525"/>
    </row>
    <row r="19" spans="1:6" ht="74.150000000000006" customHeight="1" x14ac:dyDescent="0.3">
      <c r="A19" s="260" t="s">
        <v>571</v>
      </c>
      <c r="B19" s="267" t="s">
        <v>575</v>
      </c>
      <c r="C19" s="260">
        <f>(3.6+3.6)*3+(3.6*3*4.95)+(16.15*4.58)+(16.15*5.33)+(5.4*6.05)+((3.3+4.5)*6.43)+(5.4+3)*4.85+10.35*4.05+59.61*3+3.85*5</f>
        <v>598.66800000000001</v>
      </c>
      <c r="D19" s="255">
        <f>C19-C24</f>
        <v>536.20799999999997</v>
      </c>
      <c r="E19" s="526"/>
      <c r="F19" s="527"/>
    </row>
    <row r="20" spans="1:6" ht="74.150000000000006" customHeight="1" x14ac:dyDescent="0.3">
      <c r="A20" s="260" t="s">
        <v>571</v>
      </c>
      <c r="B20" s="267" t="s">
        <v>632</v>
      </c>
      <c r="C20" s="260" t="s">
        <v>683</v>
      </c>
      <c r="D20" s="255">
        <f>18.2*3.73+13.8*4.16+(4*3.73+2.2*3.73+2.9*4.16)*2</f>
        <v>195.67400000000001</v>
      </c>
      <c r="E20" s="283"/>
      <c r="F20" s="284"/>
    </row>
    <row r="21" spans="1:6" ht="74.150000000000006" customHeight="1" x14ac:dyDescent="0.3">
      <c r="A21" s="260" t="s">
        <v>571</v>
      </c>
      <c r="B21" s="267" t="s">
        <v>633</v>
      </c>
      <c r="C21" s="260" t="s">
        <v>634</v>
      </c>
      <c r="D21" s="255">
        <f>(18.2*1.14)/2+(2.2*0.27)/2*2+(13.95*0.87)/2</f>
        <v>17.036249999999999</v>
      </c>
      <c r="E21" s="283"/>
      <c r="F21" s="284"/>
    </row>
    <row r="22" spans="1:6" x14ac:dyDescent="0.3">
      <c r="A22" s="537" t="s">
        <v>635</v>
      </c>
      <c r="B22" s="538"/>
      <c r="C22" s="538"/>
      <c r="D22" s="538"/>
      <c r="E22" s="538"/>
      <c r="F22" s="538"/>
    </row>
    <row r="23" spans="1:6" x14ac:dyDescent="0.3">
      <c r="A23" s="216" t="s">
        <v>431</v>
      </c>
      <c r="B23" s="216" t="s">
        <v>6</v>
      </c>
      <c r="C23" s="216" t="s">
        <v>432</v>
      </c>
      <c r="D23" s="217" t="s">
        <v>433</v>
      </c>
      <c r="E23" s="539"/>
      <c r="F23" s="539"/>
    </row>
    <row r="24" spans="1:6" ht="121.5" customHeight="1" x14ac:dyDescent="0.3">
      <c r="A24" s="260" t="s">
        <v>571</v>
      </c>
      <c r="B24" s="267" t="s">
        <v>434</v>
      </c>
      <c r="C24" s="260">
        <f>(3.5*2+1.6+0.8*6+0.7*4+0.9)*2.1+0.6*1+(2+2.5*3+2*3)*1.1+2.8*2+1.7+(0.4*0.8*5)</f>
        <v>62.460000000000008</v>
      </c>
      <c r="D24" s="255">
        <f>3*2.1+0.9*2.1*2+0.8*2.1*2+3*2.1+1.6*0.6*6</f>
        <v>25.5</v>
      </c>
      <c r="E24" s="539"/>
      <c r="F24" s="539"/>
    </row>
    <row r="25" spans="1:6" x14ac:dyDescent="0.3">
      <c r="A25" s="537" t="s">
        <v>636</v>
      </c>
      <c r="B25" s="538"/>
      <c r="C25" s="538"/>
      <c r="D25" s="538"/>
      <c r="E25" s="538"/>
      <c r="F25" s="538"/>
    </row>
    <row r="26" spans="1:6" x14ac:dyDescent="0.3">
      <c r="A26" s="216" t="s">
        <v>431</v>
      </c>
      <c r="B26" s="216" t="s">
        <v>6</v>
      </c>
      <c r="C26" s="216" t="s">
        <v>432</v>
      </c>
      <c r="D26" s="217" t="s">
        <v>433</v>
      </c>
      <c r="E26" s="285"/>
      <c r="F26" s="286"/>
    </row>
    <row r="27" spans="1:6" ht="47.15" customHeight="1" x14ac:dyDescent="0.3">
      <c r="A27" s="260" t="s">
        <v>571</v>
      </c>
      <c r="B27" s="267" t="s">
        <v>434</v>
      </c>
      <c r="C27" s="260"/>
      <c r="D27" s="217">
        <f>SUM(D19:D21)-D24</f>
        <v>723.41824999999994</v>
      </c>
      <c r="E27" s="285"/>
      <c r="F27" s="286"/>
    </row>
    <row r="28" spans="1:6" ht="21" customHeight="1" x14ac:dyDescent="0.3">
      <c r="A28" s="540"/>
      <c r="B28" s="541"/>
      <c r="C28" s="541"/>
      <c r="D28" s="541"/>
      <c r="E28" s="541"/>
      <c r="F28" s="542"/>
    </row>
    <row r="29" spans="1:6" ht="28.5" customHeight="1" x14ac:dyDescent="0.3">
      <c r="A29" s="287" t="str">
        <f>'PLANILHA ORÇAMENTÁRIA'!B54</f>
        <v>5.1</v>
      </c>
      <c r="B29" s="528" t="str">
        <f>'PLANILHA ORÇAMENTÁRIA'!D54</f>
        <v>CHAPISCO APLICADO EM ALVENARIAS E ESTRUTURAS DE CONCRETO INTERNAS, COM COLHER DE PEDREIRO. ARGAMASSA TRAÇO 1:3 COM PREPARO EM BETONEIRA 400 L. AF_06/2014</v>
      </c>
      <c r="C29" s="529"/>
      <c r="D29" s="529"/>
      <c r="E29" s="529"/>
      <c r="F29" s="530"/>
    </row>
    <row r="30" spans="1:6" ht="21" customHeight="1" x14ac:dyDescent="0.3">
      <c r="A30" s="216" t="s">
        <v>431</v>
      </c>
      <c r="B30" s="216" t="s">
        <v>6</v>
      </c>
      <c r="C30" s="216" t="s">
        <v>639</v>
      </c>
      <c r="D30" s="217" t="s">
        <v>433</v>
      </c>
      <c r="E30" s="524"/>
      <c r="F30" s="525"/>
    </row>
    <row r="31" spans="1:6" ht="74.150000000000006" customHeight="1" x14ac:dyDescent="0.3">
      <c r="A31" s="260" t="s">
        <v>571</v>
      </c>
      <c r="B31" s="267" t="s">
        <v>638</v>
      </c>
      <c r="C31" s="260">
        <f>D27*2</f>
        <v>1446.8364999999999</v>
      </c>
      <c r="D31" s="217">
        <f>C31</f>
        <v>1446.8364999999999</v>
      </c>
      <c r="E31" s="526"/>
      <c r="F31" s="527"/>
    </row>
    <row r="32" spans="1:6" ht="30" customHeight="1" x14ac:dyDescent="0.3">
      <c r="A32" s="287" t="e">
        <f>'PLANILHA ORÇAMENTÁRIA'!#REF!</f>
        <v>#REF!</v>
      </c>
      <c r="B32" s="528" t="e">
        <f>'PLANILHA ORÇAMENTÁRIA'!#REF!</f>
        <v>#REF!</v>
      </c>
      <c r="C32" s="529"/>
      <c r="D32" s="529"/>
      <c r="E32" s="529"/>
      <c r="F32" s="530"/>
    </row>
    <row r="33" spans="1:6" ht="33" customHeight="1" x14ac:dyDescent="0.3">
      <c r="A33" s="216" t="s">
        <v>431</v>
      </c>
      <c r="B33" s="216" t="s">
        <v>6</v>
      </c>
      <c r="C33" s="216" t="s">
        <v>640</v>
      </c>
      <c r="D33" s="217" t="s">
        <v>433</v>
      </c>
      <c r="E33" s="524"/>
      <c r="F33" s="525"/>
    </row>
    <row r="34" spans="1:6" ht="74.150000000000006" customHeight="1" x14ac:dyDescent="0.3">
      <c r="A34" s="260" t="s">
        <v>571</v>
      </c>
      <c r="B34" s="267" t="s">
        <v>631</v>
      </c>
      <c r="C34" s="255">
        <f>(D20+D21)</f>
        <v>212.71025</v>
      </c>
      <c r="D34" s="217">
        <f>C34</f>
        <v>212.71025</v>
      </c>
      <c r="E34" s="526"/>
      <c r="F34" s="527"/>
    </row>
    <row r="35" spans="1:6" ht="36" customHeight="1" x14ac:dyDescent="0.3">
      <c r="A35" s="287" t="str">
        <f>'PLANILHA ORÇAMENTÁRIA'!B55</f>
        <v>5.2</v>
      </c>
      <c r="B35" s="528" t="str">
        <f>'PLANILHA ORÇAMENTÁRIA'!D55</f>
        <v>EMBOÇO, EM ARGAMASSA TRAÇO 1:2:8, PREPARO MECÂNICO, APLICADO MANUALMENTE EM PAREDES INTERNAS DE AMBIENTES COM ÁREA MAIOR QUE 10M², E = 10MM, COM TALISCAS. AF_03/2024</v>
      </c>
      <c r="C35" s="529"/>
      <c r="D35" s="529"/>
      <c r="E35" s="529"/>
      <c r="F35" s="530"/>
    </row>
    <row r="36" spans="1:6" ht="33" customHeight="1" x14ac:dyDescent="0.3">
      <c r="A36" s="216" t="s">
        <v>431</v>
      </c>
      <c r="B36" s="216" t="s">
        <v>6</v>
      </c>
      <c r="C36" s="216" t="s">
        <v>644</v>
      </c>
      <c r="D36" s="217" t="s">
        <v>433</v>
      </c>
      <c r="E36" s="524"/>
      <c r="F36" s="525"/>
    </row>
    <row r="37" spans="1:6" ht="74.150000000000006" customHeight="1" x14ac:dyDescent="0.3">
      <c r="A37" s="260" t="s">
        <v>571</v>
      </c>
      <c r="B37" s="267" t="s">
        <v>631</v>
      </c>
      <c r="C37" s="255" t="s">
        <v>642</v>
      </c>
      <c r="D37" s="217">
        <f>((2.9+4.3+2.9+4.3+7.05*2+3.5*2)*3)-(3*2.1*2+1.6*0.6+0.8*2.1)</f>
        <v>91.259999999999991</v>
      </c>
      <c r="E37" s="526"/>
      <c r="F37" s="527"/>
    </row>
    <row r="38" spans="1:6" ht="26.75" customHeight="1" x14ac:dyDescent="0.3">
      <c r="A38" s="287" t="s">
        <v>641</v>
      </c>
      <c r="B38" s="531" t="s">
        <v>646</v>
      </c>
      <c r="C38" s="532"/>
      <c r="D38" s="532"/>
      <c r="E38" s="532"/>
      <c r="F38" s="533"/>
    </row>
    <row r="39" spans="1:6" ht="33" customHeight="1" x14ac:dyDescent="0.3">
      <c r="A39" s="216" t="s">
        <v>431</v>
      </c>
      <c r="B39" s="216" t="s">
        <v>6</v>
      </c>
      <c r="C39" s="216" t="s">
        <v>644</v>
      </c>
      <c r="D39" s="217" t="s">
        <v>433</v>
      </c>
      <c r="E39" s="524"/>
      <c r="F39" s="525"/>
    </row>
    <row r="40" spans="1:6" ht="74.150000000000006" customHeight="1" x14ac:dyDescent="0.3">
      <c r="A40" s="260" t="s">
        <v>571</v>
      </c>
      <c r="B40" s="267" t="s">
        <v>631</v>
      </c>
      <c r="C40" s="255" t="s">
        <v>643</v>
      </c>
      <c r="D40" s="217">
        <f>((6.7*3*2+4*3*2)*2+(5*3*2+2.9*3*2))-(0.9*2.1*2+0.8*2.1+1.6*0.6*5)</f>
        <v>165.54000000000002</v>
      </c>
      <c r="E40" s="526"/>
      <c r="F40" s="527"/>
    </row>
    <row r="41" spans="1:6" ht="29.15" customHeight="1" x14ac:dyDescent="0.3">
      <c r="A41" s="287" t="str">
        <f>'PLANILHA ORÇAMENTÁRIA'!B59</f>
        <v>6.1</v>
      </c>
      <c r="B41" s="528" t="str">
        <f>'PLANILHA ORÇAMENTÁRIA'!D59</f>
        <v>TELHAMENTO COM TELHA DE AÇO/ALUMÍNIO E = 0,5 MM, COM ATÉ 2 ÁGUAS, INCLUSO IÇAMENTO. AF_07/2019</v>
      </c>
      <c r="C41" s="529"/>
      <c r="D41" s="529"/>
      <c r="E41" s="529"/>
      <c r="F41" s="530"/>
    </row>
    <row r="42" spans="1:6" ht="33" customHeight="1" x14ac:dyDescent="0.3">
      <c r="A42" s="216" t="s">
        <v>431</v>
      </c>
      <c r="B42" s="216" t="s">
        <v>6</v>
      </c>
      <c r="C42" s="216" t="s">
        <v>465</v>
      </c>
      <c r="D42" s="217" t="s">
        <v>433</v>
      </c>
      <c r="E42" s="524"/>
      <c r="F42" s="525"/>
    </row>
    <row r="43" spans="1:6" ht="74.150000000000006" customHeight="1" x14ac:dyDescent="0.3">
      <c r="A43" s="260" t="s">
        <v>571</v>
      </c>
      <c r="B43" s="260" t="s">
        <v>647</v>
      </c>
      <c r="C43" s="260">
        <v>156.18</v>
      </c>
      <c r="D43" s="217">
        <f>C43</f>
        <v>156.18</v>
      </c>
      <c r="E43" s="526"/>
      <c r="F43" s="527"/>
    </row>
    <row r="44" spans="1:6" ht="29.15" customHeight="1" x14ac:dyDescent="0.3">
      <c r="A44" s="287" t="s">
        <v>458</v>
      </c>
      <c r="B44" s="528" t="str">
        <f>'PLANILHA ORÇAMENTÁRIA'!D60</f>
        <v>TRAMA DE AÇO COMPOSTA POR TERÇAS PARA TELHADOS DE ATÉ 2 ÁGUAS PARA TELHA ONDULADA DE FIBROCIMENTO, METÁLICA, PLÁSTICA OU TERMOACÚSTICA, INCLUSO TRANSPORTE VERTICAL. AF_07/2019</v>
      </c>
      <c r="C44" s="529"/>
      <c r="D44" s="529"/>
      <c r="E44" s="529"/>
      <c r="F44" s="530"/>
    </row>
    <row r="45" spans="1:6" ht="33" customHeight="1" x14ac:dyDescent="0.3">
      <c r="A45" s="216" t="s">
        <v>431</v>
      </c>
      <c r="B45" s="216" t="s">
        <v>6</v>
      </c>
      <c r="C45" s="216" t="s">
        <v>465</v>
      </c>
      <c r="D45" s="217" t="s">
        <v>433</v>
      </c>
      <c r="E45" s="524"/>
      <c r="F45" s="525"/>
    </row>
    <row r="46" spans="1:6" ht="74.150000000000006" customHeight="1" x14ac:dyDescent="0.3">
      <c r="A46" s="260" t="s">
        <v>571</v>
      </c>
      <c r="B46" s="260" t="s">
        <v>647</v>
      </c>
      <c r="C46" s="260">
        <v>156.18</v>
      </c>
      <c r="D46" s="217">
        <f>C46</f>
        <v>156.18</v>
      </c>
      <c r="E46" s="526"/>
      <c r="F46" s="527"/>
    </row>
    <row r="47" spans="1:6" ht="29.15" customHeight="1" x14ac:dyDescent="0.3">
      <c r="A47" s="287" t="s">
        <v>459</v>
      </c>
      <c r="B47" s="528" t="e">
        <f>'PLANILHA ORÇAMENTÁRIA'!#REF!</f>
        <v>#REF!</v>
      </c>
      <c r="C47" s="529"/>
      <c r="D47" s="529"/>
      <c r="E47" s="529"/>
      <c r="F47" s="530"/>
    </row>
    <row r="48" spans="1:6" ht="33" customHeight="1" x14ac:dyDescent="0.3">
      <c r="A48" s="216" t="s">
        <v>431</v>
      </c>
      <c r="B48" s="216" t="s">
        <v>6</v>
      </c>
      <c r="C48" s="216" t="s">
        <v>465</v>
      </c>
      <c r="D48" s="217" t="s">
        <v>651</v>
      </c>
      <c r="E48" s="524"/>
      <c r="F48" s="525"/>
    </row>
    <row r="49" spans="1:6" ht="74.150000000000006" customHeight="1" x14ac:dyDescent="0.3">
      <c r="A49" s="260" t="s">
        <v>571</v>
      </c>
      <c r="B49" s="260" t="s">
        <v>649</v>
      </c>
      <c r="C49" s="260" t="s">
        <v>648</v>
      </c>
      <c r="D49" s="217">
        <f>2+2</f>
        <v>4</v>
      </c>
      <c r="E49" s="526"/>
      <c r="F49" s="527"/>
    </row>
    <row r="50" spans="1:6" ht="29.15" customHeight="1" x14ac:dyDescent="0.3">
      <c r="A50" s="287" t="e">
        <f>'PLANILHA ORÇAMENTÁRIA'!#REF!</f>
        <v>#REF!</v>
      </c>
      <c r="B50" s="528" t="e">
        <f>'PLANILHA ORÇAMENTÁRIA'!#REF!</f>
        <v>#REF!</v>
      </c>
      <c r="C50" s="529"/>
      <c r="D50" s="529"/>
      <c r="E50" s="529"/>
      <c r="F50" s="530"/>
    </row>
    <row r="51" spans="1:6" ht="33" customHeight="1" x14ac:dyDescent="0.3">
      <c r="A51" s="216" t="s">
        <v>431</v>
      </c>
      <c r="B51" s="216" t="s">
        <v>6</v>
      </c>
      <c r="C51" s="216" t="s">
        <v>465</v>
      </c>
      <c r="D51" s="217" t="s">
        <v>651</v>
      </c>
      <c r="E51" s="524"/>
      <c r="F51" s="525"/>
    </row>
    <row r="52" spans="1:6" ht="74.150000000000006" customHeight="1" x14ac:dyDescent="0.3">
      <c r="A52" s="260" t="s">
        <v>571</v>
      </c>
      <c r="B52" s="260" t="s">
        <v>649</v>
      </c>
      <c r="C52" s="260" t="s">
        <v>650</v>
      </c>
      <c r="D52" s="217">
        <f>1+1</f>
        <v>2</v>
      </c>
      <c r="E52" s="526"/>
      <c r="F52" s="527"/>
    </row>
    <row r="53" spans="1:6" x14ac:dyDescent="0.3">
      <c r="A53" s="276"/>
      <c r="B53" s="277"/>
      <c r="C53" s="278"/>
      <c r="D53" s="279"/>
      <c r="E53" s="280"/>
      <c r="F53" s="281"/>
    </row>
    <row r="54" spans="1:6" ht="29.15" customHeight="1" x14ac:dyDescent="0.3">
      <c r="A54" s="287" t="e">
        <f>'PLANILHA ORÇAMENTÁRIA'!#REF!</f>
        <v>#REF!</v>
      </c>
      <c r="B54" s="528" t="e">
        <f>'PLANILHA ORÇAMENTÁRIA'!#REF!</f>
        <v>#REF!</v>
      </c>
      <c r="C54" s="529"/>
      <c r="D54" s="529"/>
      <c r="E54" s="529"/>
      <c r="F54" s="530"/>
    </row>
    <row r="55" spans="1:6" ht="33" customHeight="1" x14ac:dyDescent="0.3">
      <c r="A55" s="216" t="s">
        <v>431</v>
      </c>
      <c r="B55" s="216" t="s">
        <v>6</v>
      </c>
      <c r="C55" s="216" t="s">
        <v>356</v>
      </c>
      <c r="D55" s="217" t="s">
        <v>433</v>
      </c>
      <c r="E55" s="524"/>
      <c r="F55" s="525"/>
    </row>
    <row r="56" spans="1:6" ht="74.150000000000006" customHeight="1" x14ac:dyDescent="0.3">
      <c r="A56" s="260" t="s">
        <v>571</v>
      </c>
      <c r="B56" s="260" t="s">
        <v>652</v>
      </c>
      <c r="C56" s="260" t="s">
        <v>653</v>
      </c>
      <c r="D56" s="217">
        <f>26.8*2+14.5*2+24.675</f>
        <v>107.27499999999999</v>
      </c>
      <c r="E56" s="526"/>
      <c r="F56" s="527"/>
    </row>
    <row r="57" spans="1:6" ht="18" customHeight="1" x14ac:dyDescent="0.3">
      <c r="A57" s="287" t="e">
        <f>'PLANILHA ORÇAMENTÁRIA'!#REF!</f>
        <v>#REF!</v>
      </c>
      <c r="B57" s="528" t="e">
        <f>'PLANILHA ORÇAMENTÁRIA'!#REF!</f>
        <v>#REF!</v>
      </c>
      <c r="C57" s="529"/>
      <c r="D57" s="529"/>
      <c r="E57" s="529"/>
      <c r="F57" s="530"/>
    </row>
    <row r="58" spans="1:6" ht="33" customHeight="1" x14ac:dyDescent="0.3">
      <c r="A58" s="216" t="s">
        <v>431</v>
      </c>
      <c r="B58" s="216" t="s">
        <v>6</v>
      </c>
      <c r="C58" s="216" t="s">
        <v>660</v>
      </c>
      <c r="D58" s="217" t="s">
        <v>433</v>
      </c>
      <c r="E58" s="524"/>
      <c r="F58" s="525"/>
    </row>
    <row r="59" spans="1:6" ht="74.150000000000006" customHeight="1" x14ac:dyDescent="0.3">
      <c r="A59" s="260" t="s">
        <v>571</v>
      </c>
      <c r="B59" s="260" t="s">
        <v>355</v>
      </c>
      <c r="C59" s="260" t="s">
        <v>654</v>
      </c>
      <c r="D59" s="217">
        <f>0.2*2+1.6+0.3*4+1.6+0.6*2</f>
        <v>6.0000000000000009</v>
      </c>
      <c r="E59" s="526"/>
      <c r="F59" s="527"/>
    </row>
    <row r="60" spans="1:6" ht="18" customHeight="1" x14ac:dyDescent="0.3">
      <c r="A60" s="287" t="s">
        <v>461</v>
      </c>
      <c r="B60" s="528" t="str">
        <f>'PLANILHA ORÇAMENTÁRIA'!D74</f>
        <v>CONTRAVERGA PRÉ-MOLDADA, ESPESSURA DE *20* CM. AF_03/2024</v>
      </c>
      <c r="C60" s="529"/>
      <c r="D60" s="529"/>
      <c r="E60" s="529"/>
      <c r="F60" s="530"/>
    </row>
    <row r="61" spans="1:6" ht="33" customHeight="1" x14ac:dyDescent="0.3">
      <c r="A61" s="216" t="s">
        <v>431</v>
      </c>
      <c r="B61" s="216" t="s">
        <v>6</v>
      </c>
      <c r="C61" s="216" t="s">
        <v>660</v>
      </c>
      <c r="D61" s="217" t="s">
        <v>433</v>
      </c>
      <c r="E61" s="524"/>
      <c r="F61" s="525"/>
    </row>
    <row r="62" spans="1:6" ht="74.150000000000006" customHeight="1" x14ac:dyDescent="0.3">
      <c r="A62" s="260" t="s">
        <v>571</v>
      </c>
      <c r="B62" s="260" t="s">
        <v>355</v>
      </c>
      <c r="C62" s="260" t="s">
        <v>655</v>
      </c>
      <c r="D62" s="217">
        <f>0.8+0.6*2+0.9+0.6*2</f>
        <v>4.0999999999999996</v>
      </c>
      <c r="E62" s="526"/>
      <c r="F62" s="527"/>
    </row>
    <row r="63" spans="1:6" ht="18" customHeight="1" x14ac:dyDescent="0.3">
      <c r="A63" s="287" t="s">
        <v>462</v>
      </c>
      <c r="B63" s="528" t="str">
        <f>'PLANILHA ORÇAMENTÁRIA'!D74</f>
        <v>CONTRAVERGA PRÉ-MOLDADA, ESPESSURA DE *20* CM. AF_03/2024</v>
      </c>
      <c r="C63" s="529"/>
      <c r="D63" s="529"/>
      <c r="E63" s="529"/>
      <c r="F63" s="530"/>
    </row>
    <row r="64" spans="1:6" ht="33" customHeight="1" x14ac:dyDescent="0.3">
      <c r="A64" s="216" t="s">
        <v>431</v>
      </c>
      <c r="B64" s="216" t="s">
        <v>6</v>
      </c>
      <c r="C64" s="216" t="s">
        <v>660</v>
      </c>
      <c r="D64" s="217" t="s">
        <v>433</v>
      </c>
      <c r="E64" s="524"/>
      <c r="F64" s="525"/>
    </row>
    <row r="65" spans="1:6" ht="74.150000000000006" customHeight="1" x14ac:dyDescent="0.3">
      <c r="A65" s="260" t="s">
        <v>571</v>
      </c>
      <c r="B65" s="260" t="s">
        <v>657</v>
      </c>
      <c r="C65" s="260" t="s">
        <v>656</v>
      </c>
      <c r="D65" s="217">
        <f>3+0.3+3.5+0.3</f>
        <v>7.1</v>
      </c>
      <c r="E65" s="526"/>
      <c r="F65" s="527"/>
    </row>
    <row r="66" spans="1:6" ht="18" customHeight="1" x14ac:dyDescent="0.3">
      <c r="A66" s="287" t="s">
        <v>463</v>
      </c>
      <c r="B66" s="528" t="e">
        <f>'PLANILHA ORÇAMENTÁRIA'!#REF!</f>
        <v>#REF!</v>
      </c>
      <c r="C66" s="529"/>
      <c r="D66" s="529"/>
      <c r="E66" s="529"/>
      <c r="F66" s="530"/>
    </row>
    <row r="67" spans="1:6" ht="33" customHeight="1" x14ac:dyDescent="0.3">
      <c r="A67" s="216" t="s">
        <v>431</v>
      </c>
      <c r="B67" s="216" t="s">
        <v>6</v>
      </c>
      <c r="C67" s="216" t="s">
        <v>660</v>
      </c>
      <c r="D67" s="217" t="s">
        <v>573</v>
      </c>
      <c r="E67" s="524"/>
      <c r="F67" s="525"/>
    </row>
    <row r="68" spans="1:6" ht="74.150000000000006" customHeight="1" x14ac:dyDescent="0.3">
      <c r="A68" s="260" t="s">
        <v>571</v>
      </c>
      <c r="B68" s="260" t="s">
        <v>355</v>
      </c>
      <c r="C68" s="260" t="s">
        <v>654</v>
      </c>
      <c r="D68" s="217">
        <f>0.2*2+1.6+0.3*4+1.6+0.6*2</f>
        <v>6.0000000000000009</v>
      </c>
      <c r="E68" s="526"/>
      <c r="F68" s="527"/>
    </row>
    <row r="69" spans="1:6" ht="31.75" customHeight="1" x14ac:dyDescent="0.3">
      <c r="A69" s="287" t="e">
        <f>'PLANILHA ORÇAMENTÁRIA'!#REF!</f>
        <v>#REF!</v>
      </c>
      <c r="B69" s="528" t="e">
        <f>'PLANILHA ORÇAMENTÁRIA'!#REF!</f>
        <v>#REF!</v>
      </c>
      <c r="C69" s="529"/>
      <c r="D69" s="529"/>
      <c r="E69" s="529"/>
      <c r="F69" s="530"/>
    </row>
    <row r="70" spans="1:6" ht="33" customHeight="1" x14ac:dyDescent="0.3">
      <c r="A70" s="216" t="s">
        <v>431</v>
      </c>
      <c r="B70" s="216" t="s">
        <v>6</v>
      </c>
      <c r="C70" s="216" t="s">
        <v>661</v>
      </c>
      <c r="D70" s="217" t="s">
        <v>433</v>
      </c>
      <c r="E70" s="524"/>
      <c r="F70" s="525"/>
    </row>
    <row r="71" spans="1:6" ht="74.150000000000006" customHeight="1" x14ac:dyDescent="0.3">
      <c r="A71" s="260" t="s">
        <v>571</v>
      </c>
      <c r="B71" s="260" t="s">
        <v>355</v>
      </c>
      <c r="C71" s="260" t="s">
        <v>663</v>
      </c>
      <c r="D71" s="217">
        <f>3*2.1</f>
        <v>6.3000000000000007</v>
      </c>
      <c r="E71" s="526"/>
      <c r="F71" s="527"/>
    </row>
    <row r="72" spans="1:6" ht="31.75" customHeight="1" x14ac:dyDescent="0.3">
      <c r="A72" s="287" t="s">
        <v>659</v>
      </c>
      <c r="B72" s="528" t="e">
        <f>'PLANILHA ORÇAMENTÁRIA'!#REF!</f>
        <v>#REF!</v>
      </c>
      <c r="C72" s="529"/>
      <c r="D72" s="529"/>
      <c r="E72" s="529"/>
      <c r="F72" s="530"/>
    </row>
    <row r="73" spans="1:6" ht="33" customHeight="1" x14ac:dyDescent="0.3">
      <c r="A73" s="216" t="s">
        <v>431</v>
      </c>
      <c r="B73" s="216" t="s">
        <v>6</v>
      </c>
      <c r="C73" s="216" t="s">
        <v>661</v>
      </c>
      <c r="D73" s="217" t="s">
        <v>433</v>
      </c>
      <c r="E73" s="524"/>
      <c r="F73" s="525"/>
    </row>
    <row r="74" spans="1:6" ht="74.150000000000006" customHeight="1" x14ac:dyDescent="0.3">
      <c r="A74" s="260" t="s">
        <v>571</v>
      </c>
      <c r="B74" s="260" t="s">
        <v>355</v>
      </c>
      <c r="C74" s="260" t="s">
        <v>662</v>
      </c>
      <c r="D74" s="217">
        <f>8*0.6*1.6</f>
        <v>7.68</v>
      </c>
      <c r="E74" s="526"/>
      <c r="F74" s="527"/>
    </row>
    <row r="75" spans="1:6" ht="31.75" customHeight="1" x14ac:dyDescent="0.3">
      <c r="A75" s="287" t="e">
        <f>'PLANILHA ORÇAMENTÁRIA'!#REF!</f>
        <v>#REF!</v>
      </c>
      <c r="B75" s="528" t="e">
        <f>'PLANILHA ORÇAMENTÁRIA'!#REF!</f>
        <v>#REF!</v>
      </c>
      <c r="C75" s="529"/>
      <c r="D75" s="529"/>
      <c r="E75" s="529"/>
      <c r="F75" s="530"/>
    </row>
    <row r="76" spans="1:6" ht="33" customHeight="1" x14ac:dyDescent="0.3">
      <c r="A76" s="216" t="s">
        <v>431</v>
      </c>
      <c r="B76" s="216" t="s">
        <v>6</v>
      </c>
      <c r="C76" s="216" t="s">
        <v>661</v>
      </c>
      <c r="D76" s="217" t="s">
        <v>433</v>
      </c>
      <c r="E76" s="524"/>
      <c r="F76" s="525"/>
    </row>
    <row r="77" spans="1:6" ht="74.150000000000006" customHeight="1" x14ac:dyDescent="0.3">
      <c r="A77" s="260" t="s">
        <v>571</v>
      </c>
      <c r="B77" s="260" t="s">
        <v>355</v>
      </c>
      <c r="C77" s="260" t="s">
        <v>664</v>
      </c>
      <c r="D77" s="217">
        <f>1.6*0.6*6</f>
        <v>5.76</v>
      </c>
      <c r="E77" s="526"/>
      <c r="F77" s="527"/>
    </row>
    <row r="78" spans="1:6" ht="31.75" customHeight="1" x14ac:dyDescent="0.3">
      <c r="A78" s="287" t="e">
        <f>'PLANILHA ORÇAMENTÁRIA'!#REF!</f>
        <v>#REF!</v>
      </c>
      <c r="B78" s="528" t="e">
        <f>'PLANILHA ORÇAMENTÁRIA'!#REF!</f>
        <v>#REF!</v>
      </c>
      <c r="C78" s="529"/>
      <c r="D78" s="529"/>
      <c r="E78" s="529"/>
      <c r="F78" s="530"/>
    </row>
    <row r="79" spans="1:6" ht="33" customHeight="1" x14ac:dyDescent="0.3">
      <c r="A79" s="216" t="s">
        <v>431</v>
      </c>
      <c r="B79" s="216" t="s">
        <v>6</v>
      </c>
      <c r="C79" s="216" t="s">
        <v>666</v>
      </c>
      <c r="D79" s="217" t="s">
        <v>573</v>
      </c>
      <c r="E79" s="524"/>
      <c r="F79" s="525"/>
    </row>
    <row r="80" spans="1:6" ht="74.150000000000006" customHeight="1" x14ac:dyDescent="0.3">
      <c r="A80" s="260" t="s">
        <v>571</v>
      </c>
      <c r="B80" s="260" t="s">
        <v>355</v>
      </c>
      <c r="C80" s="260" t="s">
        <v>665</v>
      </c>
      <c r="D80" s="217">
        <f>(1.6*2+0.6*2)*6</f>
        <v>26.400000000000002</v>
      </c>
      <c r="E80" s="526"/>
      <c r="F80" s="527"/>
    </row>
    <row r="81" spans="1:6" ht="49.5" customHeight="1" x14ac:dyDescent="0.3">
      <c r="A81" s="287" t="e">
        <f>'PLANILHA ORÇAMENTÁRIA'!#REF!</f>
        <v>#REF!</v>
      </c>
      <c r="B81" s="528" t="e">
        <f>'PLANILHA ORÇAMENTÁRIA'!#REF!</f>
        <v>#REF!</v>
      </c>
      <c r="C81" s="529"/>
      <c r="D81" s="529"/>
      <c r="E81" s="529"/>
      <c r="F81" s="530"/>
    </row>
    <row r="82" spans="1:6" ht="33" customHeight="1" x14ac:dyDescent="0.3">
      <c r="A82" s="216" t="s">
        <v>431</v>
      </c>
      <c r="B82" s="216" t="s">
        <v>6</v>
      </c>
      <c r="C82" s="216" t="s">
        <v>667</v>
      </c>
      <c r="D82" s="217" t="s">
        <v>573</v>
      </c>
      <c r="E82" s="524"/>
      <c r="F82" s="525"/>
    </row>
    <row r="83" spans="1:6" ht="74.150000000000006" customHeight="1" x14ac:dyDescent="0.3">
      <c r="A83" s="260" t="s">
        <v>571</v>
      </c>
      <c r="B83" s="260" t="s">
        <v>572</v>
      </c>
      <c r="C83" s="260" t="s">
        <v>668</v>
      </c>
      <c r="D83" s="217">
        <f>(2.9*2+5*2+7.05*2+3.5*2)-(0.8+3+3)</f>
        <v>30.099999999999998</v>
      </c>
      <c r="E83" s="526"/>
      <c r="F83" s="527"/>
    </row>
    <row r="84" spans="1:6" ht="49.5" customHeight="1" x14ac:dyDescent="0.3">
      <c r="A84" s="287">
        <v>12</v>
      </c>
      <c r="B84" s="528" t="s">
        <v>670</v>
      </c>
      <c r="C84" s="529"/>
      <c r="D84" s="529"/>
      <c r="E84" s="529"/>
      <c r="F84" s="530"/>
    </row>
    <row r="85" spans="1:6" ht="33" customHeight="1" x14ac:dyDescent="0.3">
      <c r="A85" s="216" t="s">
        <v>431</v>
      </c>
      <c r="B85" s="216" t="s">
        <v>6</v>
      </c>
      <c r="C85" s="216" t="s">
        <v>631</v>
      </c>
      <c r="D85" s="217" t="s">
        <v>573</v>
      </c>
      <c r="E85" s="524"/>
      <c r="F85" s="525"/>
    </row>
    <row r="86" spans="1:6" ht="74.150000000000006" customHeight="1" x14ac:dyDescent="0.3">
      <c r="A86" s="260" t="s">
        <v>571</v>
      </c>
      <c r="B86" s="260" t="s">
        <v>669</v>
      </c>
      <c r="C86" s="255">
        <f>D20+D21</f>
        <v>212.71025</v>
      </c>
      <c r="D86" s="217">
        <f>C86</f>
        <v>212.71025</v>
      </c>
      <c r="E86" s="526"/>
      <c r="F86" s="527"/>
    </row>
    <row r="87" spans="1:6" ht="49.5" customHeight="1" x14ac:dyDescent="0.3">
      <c r="A87" s="287">
        <v>12</v>
      </c>
      <c r="B87" s="528" t="s">
        <v>670</v>
      </c>
      <c r="C87" s="529"/>
      <c r="D87" s="529"/>
      <c r="E87" s="529"/>
      <c r="F87" s="530"/>
    </row>
    <row r="88" spans="1:6" ht="33" customHeight="1" x14ac:dyDescent="0.3">
      <c r="A88" s="216" t="s">
        <v>431</v>
      </c>
      <c r="B88" s="216" t="s">
        <v>6</v>
      </c>
      <c r="C88" s="216" t="s">
        <v>631</v>
      </c>
      <c r="D88" s="217" t="s">
        <v>573</v>
      </c>
      <c r="E88" s="524"/>
      <c r="F88" s="525"/>
    </row>
    <row r="89" spans="1:6" ht="74.150000000000006" customHeight="1" x14ac:dyDescent="0.3">
      <c r="A89" s="260" t="s">
        <v>571</v>
      </c>
      <c r="B89" s="260" t="s">
        <v>669</v>
      </c>
      <c r="C89" s="255">
        <f>C34</f>
        <v>212.71025</v>
      </c>
      <c r="D89" s="217">
        <f>C89</f>
        <v>212.71025</v>
      </c>
      <c r="E89" s="526"/>
      <c r="F89" s="527"/>
    </row>
    <row r="90" spans="1:6" ht="49.5" customHeight="1" x14ac:dyDescent="0.3">
      <c r="A90" s="287">
        <v>12</v>
      </c>
      <c r="B90" s="528" t="s">
        <v>671</v>
      </c>
      <c r="C90" s="529"/>
      <c r="D90" s="529"/>
      <c r="E90" s="529"/>
      <c r="F90" s="530"/>
    </row>
    <row r="91" spans="1:6" ht="33" customHeight="1" x14ac:dyDescent="0.3">
      <c r="A91" s="216" t="s">
        <v>431</v>
      </c>
      <c r="B91" s="216" t="s">
        <v>6</v>
      </c>
      <c r="C91" s="216" t="s">
        <v>575</v>
      </c>
      <c r="D91" s="217" t="s">
        <v>573</v>
      </c>
      <c r="E91" s="524"/>
      <c r="F91" s="525"/>
    </row>
    <row r="92" spans="1:6" ht="74.150000000000006" customHeight="1" x14ac:dyDescent="0.3">
      <c r="A92" s="260" t="s">
        <v>571</v>
      </c>
      <c r="B92" s="260" t="s">
        <v>669</v>
      </c>
      <c r="C92" s="255" t="str">
        <f>C37</f>
        <v>((2,9+4,3+2,9+4,30+7,05*2+3,5*2)*3)-(3*2,1*2+1,6*0,6+0,8*2,1)</v>
      </c>
      <c r="D92" s="217">
        <f>((2.9+4.3+2.9+4.3+7.05*2+3.5*2)*3)-(3*2.1*2+1.6*0.6+0.8*2.1)</f>
        <v>91.259999999999991</v>
      </c>
      <c r="E92" s="526"/>
      <c r="F92" s="527"/>
    </row>
    <row r="93" spans="1:6" ht="49.5" customHeight="1" x14ac:dyDescent="0.3">
      <c r="A93" s="287">
        <v>12</v>
      </c>
      <c r="B93" s="528" t="s">
        <v>672</v>
      </c>
      <c r="C93" s="529"/>
      <c r="D93" s="529"/>
      <c r="E93" s="529"/>
      <c r="F93" s="530"/>
    </row>
    <row r="94" spans="1:6" ht="33" customHeight="1" x14ac:dyDescent="0.3">
      <c r="A94" s="216" t="s">
        <v>431</v>
      </c>
      <c r="B94" s="216" t="s">
        <v>6</v>
      </c>
      <c r="C94" s="216" t="s">
        <v>575</v>
      </c>
      <c r="D94" s="217" t="s">
        <v>573</v>
      </c>
      <c r="E94" s="524"/>
      <c r="F94" s="525"/>
    </row>
    <row r="95" spans="1:6" ht="74.150000000000006" customHeight="1" x14ac:dyDescent="0.3">
      <c r="A95" s="260" t="s">
        <v>571</v>
      </c>
      <c r="B95" s="260" t="s">
        <v>673</v>
      </c>
      <c r="C95" s="255" t="s">
        <v>643</v>
      </c>
      <c r="D95" s="217">
        <f>((6.7*3*2+4*3*2)*2+(5*3*2+2.9*3*2))-(0.9*2.1*2+0.8*2.1+1.6*0.6*5)</f>
        <v>165.54000000000002</v>
      </c>
      <c r="E95" s="526"/>
      <c r="F95" s="527"/>
    </row>
    <row r="96" spans="1:6" ht="49.5" customHeight="1" x14ac:dyDescent="0.3">
      <c r="A96" s="287" t="s">
        <v>574</v>
      </c>
      <c r="B96" s="528" t="str">
        <f>'PLANILHA ORÇAMENTÁRIA'!D197</f>
        <v>EXECUÇÃO DE PASSEIO (CALÇADA) OU PISO DE CONCRETO COM CONCRETO MOLDADO IN LOCO, FEITO EM OBRA, ACABAMENTO CONVENCIONAL, NÃO ARMADO. AF_08/2022</v>
      </c>
      <c r="C96" s="529"/>
      <c r="D96" s="529"/>
      <c r="E96" s="529"/>
      <c r="F96" s="530"/>
    </row>
    <row r="97" spans="1:6" ht="33" customHeight="1" x14ac:dyDescent="0.3">
      <c r="A97" s="216" t="s">
        <v>431</v>
      </c>
      <c r="B97" s="216" t="s">
        <v>6</v>
      </c>
      <c r="C97" s="216" t="s">
        <v>680</v>
      </c>
      <c r="D97" s="217" t="s">
        <v>681</v>
      </c>
      <c r="E97" s="524"/>
      <c r="F97" s="525"/>
    </row>
    <row r="98" spans="1:6" ht="74.150000000000006" customHeight="1" x14ac:dyDescent="0.3">
      <c r="A98" s="260" t="s">
        <v>571</v>
      </c>
      <c r="B98" s="260" t="s">
        <v>358</v>
      </c>
      <c r="C98" s="255" t="s">
        <v>682</v>
      </c>
      <c r="D98" s="217">
        <f>(8.45*2+2.2*2+3.05*2+15.7)*0.8*0.06</f>
        <v>2.0687999999999995</v>
      </c>
      <c r="E98" s="526"/>
      <c r="F98" s="527"/>
    </row>
    <row r="99" spans="1:6" ht="49.5" customHeight="1" x14ac:dyDescent="0.3">
      <c r="A99" s="287" t="e">
        <f>'PLANILHA ORÇAMENTÁRIA'!#REF!</f>
        <v>#REF!</v>
      </c>
      <c r="B99" s="528" t="e">
        <f>'PLANILHA ORÇAMENTÁRIA'!#REF!</f>
        <v>#REF!</v>
      </c>
      <c r="C99" s="529"/>
      <c r="D99" s="529"/>
      <c r="E99" s="529"/>
      <c r="F99" s="530"/>
    </row>
    <row r="100" spans="1:6" ht="33" customHeight="1" x14ac:dyDescent="0.3">
      <c r="A100" s="216" t="s">
        <v>431</v>
      </c>
      <c r="B100" s="216" t="s">
        <v>6</v>
      </c>
      <c r="C100" s="216" t="s">
        <v>675</v>
      </c>
      <c r="D100" s="217" t="s">
        <v>573</v>
      </c>
      <c r="E100" s="524"/>
      <c r="F100" s="525"/>
    </row>
    <row r="101" spans="1:6" ht="74.150000000000006" customHeight="1" x14ac:dyDescent="0.3">
      <c r="A101" s="260" t="s">
        <v>571</v>
      </c>
      <c r="B101" s="260" t="s">
        <v>674</v>
      </c>
      <c r="C101" s="255" t="s">
        <v>678</v>
      </c>
      <c r="D101" s="217">
        <f>(94.1+(81.9-20)+37.8+3.35+3.35+37.8+(81.9-20))*2</f>
        <v>600.40000000000009</v>
      </c>
      <c r="E101" s="526"/>
      <c r="F101" s="527"/>
    </row>
    <row r="102" spans="1:6" ht="59.25" customHeight="1" x14ac:dyDescent="0.3">
      <c r="A102" s="287" t="e">
        <f>'PLANILHA ORÇAMENTÁRIA'!#REF!</f>
        <v>#REF!</v>
      </c>
      <c r="B102" s="528" t="e">
        <f>'PLANILHA ORÇAMENTÁRIA'!#REF!</f>
        <v>#REF!</v>
      </c>
      <c r="C102" s="529"/>
      <c r="D102" s="529"/>
      <c r="E102" s="529"/>
      <c r="F102" s="530"/>
    </row>
    <row r="103" spans="1:6" ht="33" customHeight="1" x14ac:dyDescent="0.3">
      <c r="A103" s="216" t="s">
        <v>431</v>
      </c>
      <c r="B103" s="216" t="s">
        <v>6</v>
      </c>
      <c r="C103" s="216" t="s">
        <v>676</v>
      </c>
      <c r="D103" s="217" t="s">
        <v>573</v>
      </c>
      <c r="E103" s="524"/>
      <c r="F103" s="525"/>
    </row>
    <row r="104" spans="1:6" ht="74.150000000000006" customHeight="1" x14ac:dyDescent="0.3">
      <c r="A104" s="260" t="s">
        <v>571</v>
      </c>
      <c r="B104" s="260" t="s">
        <v>674</v>
      </c>
      <c r="C104" s="255" t="s">
        <v>677</v>
      </c>
      <c r="D104" s="217">
        <f>20*8*2</f>
        <v>320</v>
      </c>
      <c r="E104" s="526"/>
      <c r="F104" s="527"/>
    </row>
    <row r="105" spans="1:6" ht="15" customHeight="1" x14ac:dyDescent="0.3">
      <c r="A105" s="534"/>
      <c r="B105" s="535"/>
      <c r="C105" s="535"/>
      <c r="D105" s="535"/>
      <c r="E105" s="535"/>
      <c r="F105" s="536"/>
    </row>
    <row r="106" spans="1:6" x14ac:dyDescent="0.3">
      <c r="A106" s="553"/>
      <c r="B106" s="553"/>
      <c r="C106" s="553"/>
      <c r="D106" s="553"/>
      <c r="E106" s="553"/>
      <c r="F106" s="553"/>
    </row>
    <row r="107" spans="1:6" x14ac:dyDescent="0.3">
      <c r="A107" s="554" t="s">
        <v>137</v>
      </c>
      <c r="B107" s="554"/>
      <c r="C107" s="554"/>
      <c r="D107" s="554"/>
      <c r="E107" s="554"/>
      <c r="F107" s="554"/>
    </row>
    <row r="108" spans="1:6" x14ac:dyDescent="0.3">
      <c r="A108" s="554"/>
      <c r="B108" s="554"/>
      <c r="C108" s="554"/>
      <c r="D108" s="554"/>
      <c r="E108" s="554"/>
      <c r="F108" s="554"/>
    </row>
    <row r="109" spans="1:6" x14ac:dyDescent="0.3">
      <c r="A109" s="555"/>
      <c r="B109" s="555"/>
      <c r="C109" s="555"/>
      <c r="D109" s="555"/>
      <c r="E109" s="555"/>
      <c r="F109" s="555"/>
    </row>
    <row r="110" spans="1:6" x14ac:dyDescent="0.3">
      <c r="A110" s="555"/>
      <c r="B110" s="555"/>
      <c r="C110" s="555"/>
      <c r="D110" s="555"/>
      <c r="E110" s="555"/>
      <c r="F110" s="555"/>
    </row>
    <row r="111" spans="1:6" x14ac:dyDescent="0.3">
      <c r="A111" s="552" t="s">
        <v>13</v>
      </c>
      <c r="B111" s="552"/>
      <c r="C111" s="552"/>
      <c r="D111" s="552"/>
      <c r="E111" s="552"/>
      <c r="F111" s="552"/>
    </row>
    <row r="112" spans="1:6" x14ac:dyDescent="0.3">
      <c r="A112" s="552" t="s">
        <v>14</v>
      </c>
      <c r="B112" s="552"/>
      <c r="C112" s="552"/>
      <c r="D112" s="552"/>
      <c r="E112" s="552"/>
      <c r="F112" s="552"/>
    </row>
  </sheetData>
  <mergeCells count="72">
    <mergeCell ref="B60:F60"/>
    <mergeCell ref="E61:F62"/>
    <mergeCell ref="E73:F74"/>
    <mergeCell ref="B63:F63"/>
    <mergeCell ref="E64:F65"/>
    <mergeCell ref="B66:F66"/>
    <mergeCell ref="E67:F68"/>
    <mergeCell ref="B72:F72"/>
    <mergeCell ref="B69:F69"/>
    <mergeCell ref="E70:F71"/>
    <mergeCell ref="E51:F52"/>
    <mergeCell ref="B54:F54"/>
    <mergeCell ref="E55:F56"/>
    <mergeCell ref="B57:F57"/>
    <mergeCell ref="E58:F59"/>
    <mergeCell ref="A112:F112"/>
    <mergeCell ref="A106:F106"/>
    <mergeCell ref="A107:F108"/>
    <mergeCell ref="A109:F110"/>
    <mergeCell ref="A111:F111"/>
    <mergeCell ref="B44:F44"/>
    <mergeCell ref="E45:F46"/>
    <mergeCell ref="A105:F105"/>
    <mergeCell ref="B1:F1"/>
    <mergeCell ref="B2:F2"/>
    <mergeCell ref="B3:F3"/>
    <mergeCell ref="B4:F4"/>
    <mergeCell ref="A5:F5"/>
    <mergeCell ref="A6:F6"/>
    <mergeCell ref="A8:F8"/>
    <mergeCell ref="E9:F15"/>
    <mergeCell ref="A7:F7"/>
    <mergeCell ref="A17:F17"/>
    <mergeCell ref="B47:F47"/>
    <mergeCell ref="E48:F49"/>
    <mergeCell ref="B50:F50"/>
    <mergeCell ref="E30:F31"/>
    <mergeCell ref="A28:F28"/>
    <mergeCell ref="B29:F29"/>
    <mergeCell ref="B32:F32"/>
    <mergeCell ref="E33:F34"/>
    <mergeCell ref="E18:F19"/>
    <mergeCell ref="A16:F16"/>
    <mergeCell ref="A22:F22"/>
    <mergeCell ref="E23:F24"/>
    <mergeCell ref="A25:F25"/>
    <mergeCell ref="E42:F43"/>
    <mergeCell ref="B35:F35"/>
    <mergeCell ref="E36:F37"/>
    <mergeCell ref="B38:F38"/>
    <mergeCell ref="E39:F40"/>
    <mergeCell ref="B41:F41"/>
    <mergeCell ref="B75:F75"/>
    <mergeCell ref="E76:F77"/>
    <mergeCell ref="B78:F78"/>
    <mergeCell ref="E79:F80"/>
    <mergeCell ref="B81:F81"/>
    <mergeCell ref="E82:F83"/>
    <mergeCell ref="B84:F84"/>
    <mergeCell ref="E85:F86"/>
    <mergeCell ref="B87:F87"/>
    <mergeCell ref="E88:F89"/>
    <mergeCell ref="B90:F90"/>
    <mergeCell ref="E91:F92"/>
    <mergeCell ref="B93:F93"/>
    <mergeCell ref="E94:F95"/>
    <mergeCell ref="B96:F96"/>
    <mergeCell ref="E97:F98"/>
    <mergeCell ref="B99:F99"/>
    <mergeCell ref="E100:F101"/>
    <mergeCell ref="B102:F102"/>
    <mergeCell ref="E103:F104"/>
  </mergeCells>
  <conditionalFormatting sqref="A24:B24">
    <cfRule type="expression" dxfId="63" priority="316" stopIfTrue="1">
      <formula>AND(#REF!&lt;&gt;"COMPOSICAO",#REF!&lt;&gt;"INSUMO",#REF!&lt;&gt;"")</formula>
    </cfRule>
    <cfRule type="expression" dxfId="62" priority="317" stopIfTrue="1">
      <formula>AND(OR(#REF!="COMPOSICAO",#REF!="INSUMO",#REF!&lt;&gt;""),#REF!&lt;&gt;"")</formula>
    </cfRule>
  </conditionalFormatting>
  <conditionalFormatting sqref="A27:B27 A28">
    <cfRule type="expression" dxfId="61" priority="51" stopIfTrue="1">
      <formula>AND(#REF!&lt;&gt;"COMPOSICAO",#REF!&lt;&gt;"INSUMO",#REF!&lt;&gt;"")</formula>
    </cfRule>
    <cfRule type="expression" dxfId="60" priority="52" stopIfTrue="1">
      <formula>AND(OR(#REF!="COMPOSICAO",#REF!="INSUMO",#REF!&lt;&gt;""),#REF!&lt;&gt;"")</formula>
    </cfRule>
  </conditionalFormatting>
  <conditionalFormatting sqref="A10:D15">
    <cfRule type="expression" dxfId="59" priority="119" stopIfTrue="1">
      <formula>AND(#REF!&lt;&gt;"COMPOSICAO",#REF!&lt;&gt;"INSUMO",#REF!&lt;&gt;"")</formula>
    </cfRule>
    <cfRule type="expression" dxfId="58" priority="120" stopIfTrue="1">
      <formula>AND(OR(#REF!="COMPOSICAO",#REF!="INSUMO",#REF!&lt;&gt;""),#REF!&lt;&gt;"")</formula>
    </cfRule>
  </conditionalFormatting>
  <conditionalFormatting sqref="A19:D21">
    <cfRule type="expression" dxfId="57" priority="95" stopIfTrue="1">
      <formula>AND(#REF!&lt;&gt;"COMPOSICAO",#REF!&lt;&gt;"INSUMO",#REF!&lt;&gt;"")</formula>
    </cfRule>
    <cfRule type="expression" dxfId="56" priority="96" stopIfTrue="1">
      <formula>AND(OR(#REF!="COMPOSICAO",#REF!="INSUMO",#REF!&lt;&gt;""),#REF!&lt;&gt;"")</formula>
    </cfRule>
  </conditionalFormatting>
  <conditionalFormatting sqref="A31:D31 A34:D34 A37:D37 A40:D40 A43:D43 A46:D46 A49:D49 A52:B53">
    <cfRule type="expression" dxfId="55" priority="47" stopIfTrue="1">
      <formula>AND(#REF!&lt;&gt;"COMPOSICAO",#REF!&lt;&gt;"INSUMO",#REF!&lt;&gt;"")</formula>
    </cfRule>
    <cfRule type="expression" dxfId="54" priority="48" stopIfTrue="1">
      <formula>AND(OR(#REF!="COMPOSICAO",#REF!="INSUMO",#REF!&lt;&gt;""),#REF!&lt;&gt;"")</formula>
    </cfRule>
  </conditionalFormatting>
  <conditionalFormatting sqref="A56:D56 A59:D59 A62:D62 A65:D65 A68:D68 A74:D74">
    <cfRule type="expression" dxfId="53" priority="45" stopIfTrue="1">
      <formula>AND(#REF!&lt;&gt;"COMPOSICAO",#REF!&lt;&gt;"INSUMO",#REF!&lt;&gt;"")</formula>
    </cfRule>
    <cfRule type="expression" dxfId="52" priority="46" stopIfTrue="1">
      <formula>AND(OR(#REF!="COMPOSICAO",#REF!="INSUMO",#REF!&lt;&gt;""),#REF!&lt;&gt;"")</formula>
    </cfRule>
  </conditionalFormatting>
  <conditionalFormatting sqref="A71:D71">
    <cfRule type="expression" dxfId="51" priority="41" stopIfTrue="1">
      <formula>AND(#REF!&lt;&gt;"COMPOSICAO",#REF!&lt;&gt;"INSUMO",#REF!&lt;&gt;"")</formula>
    </cfRule>
    <cfRule type="expression" dxfId="50" priority="42" stopIfTrue="1">
      <formula>AND(OR(#REF!="COMPOSICAO",#REF!="INSUMO",#REF!&lt;&gt;""),#REF!&lt;&gt;"")</formula>
    </cfRule>
  </conditionalFormatting>
  <conditionalFormatting sqref="A77:D77">
    <cfRule type="expression" dxfId="49" priority="37" stopIfTrue="1">
      <formula>AND(#REF!&lt;&gt;"COMPOSICAO",#REF!&lt;&gt;"INSUMO",#REF!&lt;&gt;"")</formula>
    </cfRule>
    <cfRule type="expression" dxfId="48" priority="38" stopIfTrue="1">
      <formula>AND(OR(#REF!="COMPOSICAO",#REF!="INSUMO",#REF!&lt;&gt;""),#REF!&lt;&gt;"")</formula>
    </cfRule>
  </conditionalFormatting>
  <conditionalFormatting sqref="A80:D80">
    <cfRule type="expression" dxfId="47" priority="33" stopIfTrue="1">
      <formula>AND(#REF!&lt;&gt;"COMPOSICAO",#REF!&lt;&gt;"INSUMO",#REF!&lt;&gt;"")</formula>
    </cfRule>
    <cfRule type="expression" dxfId="46" priority="34" stopIfTrue="1">
      <formula>AND(OR(#REF!="COMPOSICAO",#REF!="INSUMO",#REF!&lt;&gt;""),#REF!&lt;&gt;"")</formula>
    </cfRule>
  </conditionalFormatting>
  <conditionalFormatting sqref="A83:D83">
    <cfRule type="expression" dxfId="45" priority="29" stopIfTrue="1">
      <formula>AND(#REF!&lt;&gt;"COMPOSICAO",#REF!&lt;&gt;"INSUMO",#REF!&lt;&gt;"")</formula>
    </cfRule>
    <cfRule type="expression" dxfId="44" priority="30" stopIfTrue="1">
      <formula>AND(OR(#REF!="COMPOSICAO",#REF!="INSUMO",#REF!&lt;&gt;""),#REF!&lt;&gt;"")</formula>
    </cfRule>
  </conditionalFormatting>
  <conditionalFormatting sqref="A86:D86">
    <cfRule type="expression" dxfId="43" priority="25" stopIfTrue="1">
      <formula>AND(#REF!&lt;&gt;"COMPOSICAO",#REF!&lt;&gt;"INSUMO",#REF!&lt;&gt;"")</formula>
    </cfRule>
    <cfRule type="expression" dxfId="42" priority="26" stopIfTrue="1">
      <formula>AND(OR(#REF!="COMPOSICAO",#REF!="INSUMO",#REF!&lt;&gt;""),#REF!&lt;&gt;"")</formula>
    </cfRule>
  </conditionalFormatting>
  <conditionalFormatting sqref="A89:D89">
    <cfRule type="expression" dxfId="41" priority="21" stopIfTrue="1">
      <formula>AND(#REF!&lt;&gt;"COMPOSICAO",#REF!&lt;&gt;"INSUMO",#REF!&lt;&gt;"")</formula>
    </cfRule>
    <cfRule type="expression" dxfId="40" priority="22" stopIfTrue="1">
      <formula>AND(OR(#REF!="COMPOSICAO",#REF!="INSUMO",#REF!&lt;&gt;""),#REF!&lt;&gt;"")</formula>
    </cfRule>
  </conditionalFormatting>
  <conditionalFormatting sqref="A92:D92">
    <cfRule type="expression" dxfId="39" priority="17" stopIfTrue="1">
      <formula>AND(#REF!&lt;&gt;"COMPOSICAO",#REF!&lt;&gt;"INSUMO",#REF!&lt;&gt;"")</formula>
    </cfRule>
    <cfRule type="expression" dxfId="38" priority="18" stopIfTrue="1">
      <formula>AND(OR(#REF!="COMPOSICAO",#REF!="INSUMO",#REF!&lt;&gt;""),#REF!&lt;&gt;"")</formula>
    </cfRule>
  </conditionalFormatting>
  <conditionalFormatting sqref="A95:D95">
    <cfRule type="expression" dxfId="37" priority="13" stopIfTrue="1">
      <formula>AND(#REF!&lt;&gt;"COMPOSICAO",#REF!&lt;&gt;"INSUMO",#REF!&lt;&gt;"")</formula>
    </cfRule>
    <cfRule type="expression" dxfId="36" priority="14" stopIfTrue="1">
      <formula>AND(OR(#REF!="COMPOSICAO",#REF!="INSUMO",#REF!&lt;&gt;""),#REF!&lt;&gt;"")</formula>
    </cfRule>
  </conditionalFormatting>
  <conditionalFormatting sqref="A98:D98">
    <cfRule type="expression" dxfId="35" priority="9" stopIfTrue="1">
      <formula>AND(#REF!&lt;&gt;"COMPOSICAO",#REF!&lt;&gt;"INSUMO",#REF!&lt;&gt;"")</formula>
    </cfRule>
    <cfRule type="expression" dxfId="34" priority="10" stopIfTrue="1">
      <formula>AND(OR(#REF!="COMPOSICAO",#REF!="INSUMO",#REF!&lt;&gt;""),#REF!&lt;&gt;"")</formula>
    </cfRule>
  </conditionalFormatting>
  <conditionalFormatting sqref="A101:D101">
    <cfRule type="expression" dxfId="33" priority="5" stopIfTrue="1">
      <formula>AND(#REF!&lt;&gt;"COMPOSICAO",#REF!&lt;&gt;"INSUMO",#REF!&lt;&gt;"")</formula>
    </cfRule>
    <cfRule type="expression" dxfId="32" priority="6" stopIfTrue="1">
      <formula>AND(OR(#REF!="COMPOSICAO",#REF!="INSUMO",#REF!&lt;&gt;""),#REF!&lt;&gt;"")</formula>
    </cfRule>
  </conditionalFormatting>
  <conditionalFormatting sqref="A104:D104">
    <cfRule type="expression" dxfId="31" priority="1" stopIfTrue="1">
      <formula>AND(#REF!&lt;&gt;"COMPOSICAO",#REF!&lt;&gt;"INSUMO",#REF!&lt;&gt;"")</formula>
    </cfRule>
    <cfRule type="expression" dxfId="30" priority="2" stopIfTrue="1">
      <formula>AND(OR(#REF!="COMPOSICAO",#REF!="INSUMO",#REF!&lt;&gt;""),#REF!&lt;&gt;"")</formula>
    </cfRule>
  </conditionalFormatting>
  <conditionalFormatting sqref="C52:D52">
    <cfRule type="expression" dxfId="29" priority="49" stopIfTrue="1">
      <formula>AND(#REF!&lt;&gt;"COMPOSICAO",#REF!&lt;&gt;"INSUMO",#REF!&lt;&gt;"")</formula>
    </cfRule>
    <cfRule type="expression" dxfId="28" priority="50" stopIfTrue="1">
      <formula>AND(OR(#REF!="COMPOSICAO",#REF!="INSUMO",#REF!&lt;&gt;""),#REF!&lt;&gt;"")</formula>
    </cfRule>
  </conditionalFormatting>
  <pageMargins left="0.511811024" right="0.511811024" top="1.2112499999999999" bottom="0.78740157499999996" header="0.31496062000000002" footer="0.31496062000000002"/>
  <pageSetup paperSize="9" scale="72" fitToHeight="0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60"/>
  <sheetViews>
    <sheetView view="pageBreakPreview" zoomScaleNormal="100" zoomScaleSheetLayoutView="100" workbookViewId="0">
      <selection activeCell="E13" sqref="E13"/>
    </sheetView>
  </sheetViews>
  <sheetFormatPr defaultColWidth="12.6640625" defaultRowHeight="14" x14ac:dyDescent="0.3"/>
  <cols>
    <col min="1" max="1" width="13.83203125" style="195" customWidth="1"/>
    <col min="2" max="2" width="10.25" style="195" customWidth="1"/>
    <col min="3" max="3" width="46.5" style="195" customWidth="1"/>
    <col min="4" max="4" width="9.6640625" style="195" customWidth="1"/>
    <col min="5" max="5" width="19" style="195" customWidth="1"/>
    <col min="6" max="6" width="15.75" style="195" customWidth="1"/>
    <col min="7" max="7" width="14.75" style="195" customWidth="1"/>
    <col min="8" max="8" width="14.5" style="195" customWidth="1"/>
    <col min="9" max="41" width="7.6640625" style="195" customWidth="1"/>
    <col min="42" max="16384" width="12.6640625" style="195"/>
  </cols>
  <sheetData>
    <row r="1" spans="1:7" x14ac:dyDescent="0.3">
      <c r="A1" s="194" t="str">
        <f>'[2]PLANILHA NÃO DESONERADO'!A1</f>
        <v>Obra:</v>
      </c>
      <c r="B1" s="574" t="str">
        <f>'PLANILHA ORÇAMENTÁRIA'!B1:F1</f>
        <v>CONSTRUÇÃO DE PÁTIO DA SECRETARIA DE OBRAS MUNICIPAL</v>
      </c>
      <c r="C1" s="575"/>
      <c r="D1" s="575"/>
      <c r="E1" s="575"/>
      <c r="F1" s="575"/>
      <c r="G1" s="576"/>
    </row>
    <row r="2" spans="1:7" x14ac:dyDescent="0.3">
      <c r="A2" s="194" t="str">
        <f>'[2]PLANILHA NÃO DESONERADO'!A2</f>
        <v>Proprietário:</v>
      </c>
      <c r="B2" s="574" t="str">
        <f>'PLANILHA ORÇAMENTÁRIA'!B2:F2</f>
        <v>PREFEITURA MUNICIPAL DE ARAPUTANGA</v>
      </c>
      <c r="C2" s="575"/>
      <c r="D2" s="575"/>
      <c r="E2" s="575"/>
      <c r="F2" s="575"/>
      <c r="G2" s="576"/>
    </row>
    <row r="3" spans="1:7" x14ac:dyDescent="0.3">
      <c r="A3" s="194" t="str">
        <f>'[2]PLANILHA NÃO DESONERADO'!A3</f>
        <v>Local:</v>
      </c>
      <c r="B3" s="574" t="str">
        <f>'PLANILHA ORÇAMENTÁRIA'!B3:F3</f>
        <v>AVENIDA PROJETADA, DISTRITO INDUSTRIAL</v>
      </c>
      <c r="C3" s="575"/>
      <c r="D3" s="575"/>
      <c r="E3" s="575"/>
      <c r="F3" s="575"/>
      <c r="G3" s="576"/>
    </row>
    <row r="4" spans="1:7" ht="14.5" thickBot="1" x14ac:dyDescent="0.35">
      <c r="A4" s="197" t="str">
        <f>'[2]PLANILHA NÃO DESONERADO'!A4</f>
        <v>Data:</v>
      </c>
      <c r="B4" s="577">
        <f ca="1">TODAY()</f>
        <v>45972</v>
      </c>
      <c r="C4" s="578"/>
      <c r="D4" s="578"/>
      <c r="E4" s="578"/>
      <c r="F4" s="578"/>
      <c r="G4" s="579"/>
    </row>
    <row r="5" spans="1:7" ht="14.5" thickBot="1" x14ac:dyDescent="0.35">
      <c r="A5" s="583"/>
      <c r="B5" s="584"/>
      <c r="C5" s="584"/>
      <c r="D5" s="584"/>
      <c r="E5" s="584"/>
      <c r="F5" s="584"/>
      <c r="G5" s="585"/>
    </row>
    <row r="6" spans="1:7" ht="14.5" thickBot="1" x14ac:dyDescent="0.35">
      <c r="A6" s="580" t="s">
        <v>292</v>
      </c>
      <c r="B6" s="581"/>
      <c r="C6" s="581"/>
      <c r="D6" s="581"/>
      <c r="E6" s="581"/>
      <c r="F6" s="581"/>
      <c r="G6" s="582"/>
    </row>
    <row r="7" spans="1:7" ht="15" customHeight="1" x14ac:dyDescent="0.3">
      <c r="A7" s="567"/>
      <c r="B7" s="568"/>
      <c r="C7" s="568"/>
      <c r="D7" s="568"/>
      <c r="E7" s="568"/>
      <c r="F7" s="568"/>
      <c r="G7" s="569"/>
    </row>
    <row r="8" spans="1:7" ht="14.5" thickBot="1" x14ac:dyDescent="0.35">
      <c r="A8" s="570"/>
      <c r="B8" s="571"/>
      <c r="C8" s="571"/>
      <c r="D8" s="571"/>
      <c r="E8" s="571"/>
      <c r="F8" s="571"/>
      <c r="G8" s="572"/>
    </row>
    <row r="9" spans="1:7" x14ac:dyDescent="0.3">
      <c r="A9" s="558" t="s">
        <v>45</v>
      </c>
      <c r="B9" s="559"/>
      <c r="C9" s="559"/>
      <c r="D9" s="559"/>
      <c r="E9" s="559"/>
      <c r="F9" s="559"/>
      <c r="G9" s="560"/>
    </row>
    <row r="10" spans="1:7" x14ac:dyDescent="0.3">
      <c r="A10" s="561" t="s">
        <v>277</v>
      </c>
      <c r="B10" s="562"/>
      <c r="C10" s="562"/>
      <c r="D10" s="561" t="s">
        <v>42</v>
      </c>
      <c r="E10" s="562"/>
      <c r="F10" s="562"/>
      <c r="G10" s="562"/>
    </row>
    <row r="11" spans="1:7" ht="28" x14ac:dyDescent="0.3">
      <c r="A11" s="216" t="s">
        <v>47</v>
      </c>
      <c r="B11" s="216" t="s">
        <v>74</v>
      </c>
      <c r="C11" s="216" t="s">
        <v>6</v>
      </c>
      <c r="D11" s="216"/>
      <c r="E11" s="217" t="s">
        <v>49</v>
      </c>
      <c r="F11" s="212" t="s">
        <v>50</v>
      </c>
      <c r="G11" s="212" t="s">
        <v>51</v>
      </c>
    </row>
    <row r="12" spans="1:7" ht="28" x14ac:dyDescent="0.3">
      <c r="A12" s="260" t="s">
        <v>63</v>
      </c>
      <c r="B12" s="261">
        <v>90780</v>
      </c>
      <c r="C12" s="205" t="s">
        <v>293</v>
      </c>
      <c r="D12" s="201" t="s">
        <v>65</v>
      </c>
      <c r="E12" s="255">
        <v>240</v>
      </c>
      <c r="F12" s="255">
        <v>61.24</v>
      </c>
      <c r="G12" s="262">
        <f>TRUNC(F12*E12,2)</f>
        <v>14697.6</v>
      </c>
    </row>
    <row r="13" spans="1:7" ht="28" x14ac:dyDescent="0.3">
      <c r="A13" s="260" t="s">
        <v>63</v>
      </c>
      <c r="B13" s="261">
        <v>90777</v>
      </c>
      <c r="C13" s="205" t="s">
        <v>294</v>
      </c>
      <c r="D13" s="201" t="s">
        <v>65</v>
      </c>
      <c r="E13" s="255">
        <v>48</v>
      </c>
      <c r="F13" s="255">
        <v>116.87</v>
      </c>
      <c r="G13" s="262">
        <f>TRUNC(F13*E13,2)</f>
        <v>5609.76</v>
      </c>
    </row>
    <row r="14" spans="1:7" ht="15.75" customHeight="1" x14ac:dyDescent="0.3">
      <c r="A14" s="563" t="s">
        <v>887</v>
      </c>
      <c r="B14" s="563"/>
      <c r="C14" s="563"/>
      <c r="D14" s="563"/>
      <c r="E14" s="563"/>
      <c r="F14" s="263" t="s">
        <v>71</v>
      </c>
      <c r="G14" s="237">
        <f>TRUNC(G12+G13,2)</f>
        <v>20307.36</v>
      </c>
    </row>
    <row r="15" spans="1:7" ht="15" customHeight="1" x14ac:dyDescent="0.3">
      <c r="A15" s="563" t="s">
        <v>888</v>
      </c>
      <c r="B15" s="563"/>
      <c r="C15" s="563"/>
      <c r="D15" s="563"/>
      <c r="E15" s="563"/>
      <c r="F15" s="573"/>
      <c r="G15" s="573"/>
    </row>
    <row r="16" spans="1:7" ht="15" customHeight="1" x14ac:dyDescent="0.3">
      <c r="A16" s="234"/>
      <c r="B16" s="234"/>
      <c r="C16" s="234"/>
      <c r="D16" s="234"/>
      <c r="E16" s="234"/>
      <c r="F16" s="235"/>
      <c r="G16" s="236"/>
    </row>
    <row r="17" spans="1:7" x14ac:dyDescent="0.3">
      <c r="A17" s="202"/>
      <c r="B17" s="203"/>
      <c r="C17" s="203"/>
      <c r="D17" s="203"/>
      <c r="E17" s="203"/>
      <c r="F17" s="203"/>
      <c r="G17" s="204"/>
    </row>
    <row r="18" spans="1:7" x14ac:dyDescent="0.3">
      <c r="A18" s="198"/>
      <c r="B18" s="199"/>
      <c r="C18" s="199"/>
      <c r="D18" s="199"/>
      <c r="E18" s="200"/>
      <c r="F18" s="203"/>
      <c r="G18" s="204"/>
    </row>
    <row r="19" spans="1:7" hidden="1" x14ac:dyDescent="0.3">
      <c r="A19" s="558" t="s">
        <v>72</v>
      </c>
      <c r="B19" s="559"/>
      <c r="C19" s="559"/>
      <c r="D19" s="559"/>
      <c r="E19" s="559"/>
      <c r="F19" s="559"/>
      <c r="G19" s="560"/>
    </row>
    <row r="20" spans="1:7" ht="41.25" hidden="1" customHeight="1" x14ac:dyDescent="0.3">
      <c r="A20" s="561" t="s">
        <v>344</v>
      </c>
      <c r="B20" s="562"/>
      <c r="C20" s="562"/>
      <c r="D20" s="561" t="s">
        <v>69</v>
      </c>
      <c r="E20" s="562"/>
      <c r="F20" s="562"/>
      <c r="G20" s="562"/>
    </row>
    <row r="21" spans="1:7" ht="28" hidden="1" x14ac:dyDescent="0.3">
      <c r="A21" s="216" t="s">
        <v>47</v>
      </c>
      <c r="B21" s="216" t="s">
        <v>48</v>
      </c>
      <c r="C21" s="216" t="s">
        <v>6</v>
      </c>
      <c r="D21" s="216" t="s">
        <v>42</v>
      </c>
      <c r="E21" s="217" t="s">
        <v>49</v>
      </c>
      <c r="F21" s="212" t="s">
        <v>50</v>
      </c>
      <c r="G21" s="212" t="s">
        <v>51</v>
      </c>
    </row>
    <row r="22" spans="1:7" hidden="1" x14ac:dyDescent="0.3">
      <c r="A22" s="252" t="s">
        <v>63</v>
      </c>
      <c r="B22" s="252" t="s">
        <v>289</v>
      </c>
      <c r="C22" s="253" t="s">
        <v>75</v>
      </c>
      <c r="D22" s="252" t="s">
        <v>65</v>
      </c>
      <c r="E22" s="254" t="s">
        <v>402</v>
      </c>
      <c r="F22" s="254">
        <v>25.62</v>
      </c>
      <c r="G22" s="262">
        <f t="shared" ref="G22:G26" si="0">TRUNC(F22*E22,2)</f>
        <v>125.69</v>
      </c>
    </row>
    <row r="23" spans="1:7" hidden="1" x14ac:dyDescent="0.3">
      <c r="A23" s="252" t="s">
        <v>63</v>
      </c>
      <c r="B23" s="252" t="s">
        <v>288</v>
      </c>
      <c r="C23" s="253" t="s">
        <v>66</v>
      </c>
      <c r="D23" s="252" t="s">
        <v>65</v>
      </c>
      <c r="E23" s="254" t="s">
        <v>403</v>
      </c>
      <c r="F23" s="254">
        <v>20.32</v>
      </c>
      <c r="G23" s="262">
        <f t="shared" si="0"/>
        <v>66.97</v>
      </c>
    </row>
    <row r="24" spans="1:7" ht="42" hidden="1" x14ac:dyDescent="0.3">
      <c r="A24" s="252" t="s">
        <v>63</v>
      </c>
      <c r="B24" s="252" t="s">
        <v>404</v>
      </c>
      <c r="C24" s="253" t="s">
        <v>405</v>
      </c>
      <c r="D24" s="252" t="s">
        <v>290</v>
      </c>
      <c r="E24" s="254" t="s">
        <v>406</v>
      </c>
      <c r="F24" s="254">
        <v>1.36</v>
      </c>
      <c r="G24" s="262">
        <f t="shared" si="0"/>
        <v>0.56999999999999995</v>
      </c>
    </row>
    <row r="25" spans="1:7" ht="42" hidden="1" x14ac:dyDescent="0.3">
      <c r="A25" s="252" t="s">
        <v>63</v>
      </c>
      <c r="B25" s="252" t="s">
        <v>407</v>
      </c>
      <c r="C25" s="253" t="s">
        <v>408</v>
      </c>
      <c r="D25" s="252" t="s">
        <v>291</v>
      </c>
      <c r="E25" s="254" t="s">
        <v>409</v>
      </c>
      <c r="F25" s="255">
        <v>0.49</v>
      </c>
      <c r="G25" s="262">
        <f t="shared" si="0"/>
        <v>0.6</v>
      </c>
    </row>
    <row r="26" spans="1:7" ht="56" hidden="1" x14ac:dyDescent="0.3">
      <c r="A26" s="252" t="s">
        <v>63</v>
      </c>
      <c r="B26" s="252">
        <v>94971</v>
      </c>
      <c r="C26" s="253" t="s">
        <v>412</v>
      </c>
      <c r="D26" s="252" t="s">
        <v>69</v>
      </c>
      <c r="E26" s="254" t="s">
        <v>410</v>
      </c>
      <c r="F26" s="254">
        <v>564.07000000000005</v>
      </c>
      <c r="G26" s="262">
        <f t="shared" si="0"/>
        <v>648.67999999999995</v>
      </c>
    </row>
    <row r="27" spans="1:7" hidden="1" x14ac:dyDescent="0.3">
      <c r="A27" s="563" t="s">
        <v>411</v>
      </c>
      <c r="B27" s="563"/>
      <c r="C27" s="563"/>
      <c r="D27" s="563"/>
      <c r="E27" s="563"/>
      <c r="F27" s="258" t="s">
        <v>71</v>
      </c>
      <c r="G27" s="259">
        <f>TRUNC(G23+G24+G22+G25+G26,2)</f>
        <v>842.51</v>
      </c>
    </row>
    <row r="28" spans="1:7" hidden="1" x14ac:dyDescent="0.3">
      <c r="A28" s="592"/>
      <c r="B28" s="593"/>
      <c r="C28" s="593"/>
      <c r="D28" s="593"/>
      <c r="E28" s="593"/>
      <c r="F28" s="593"/>
      <c r="G28" s="594"/>
    </row>
    <row r="29" spans="1:7" ht="14.5" hidden="1" thickBot="1" x14ac:dyDescent="0.35">
      <c r="A29" s="595"/>
      <c r="B29" s="596"/>
      <c r="C29" s="596"/>
      <c r="D29" s="596"/>
      <c r="E29" s="596"/>
      <c r="F29" s="596"/>
      <c r="G29" s="597"/>
    </row>
    <row r="30" spans="1:7" hidden="1" x14ac:dyDescent="0.3">
      <c r="A30" s="589" t="s">
        <v>76</v>
      </c>
      <c r="B30" s="590"/>
      <c r="C30" s="590"/>
      <c r="D30" s="590"/>
      <c r="E30" s="590"/>
      <c r="F30" s="590"/>
      <c r="G30" s="591"/>
    </row>
    <row r="31" spans="1:7" ht="46.5" hidden="1" customHeight="1" x14ac:dyDescent="0.3">
      <c r="A31" s="556" t="s">
        <v>345</v>
      </c>
      <c r="B31" s="557"/>
      <c r="C31" s="557"/>
      <c r="D31" s="556" t="s">
        <v>69</v>
      </c>
      <c r="E31" s="557"/>
      <c r="F31" s="557"/>
      <c r="G31" s="557"/>
    </row>
    <row r="32" spans="1:7" ht="28" hidden="1" x14ac:dyDescent="0.3">
      <c r="A32" s="249" t="s">
        <v>47</v>
      </c>
      <c r="B32" s="249" t="s">
        <v>48</v>
      </c>
      <c r="C32" s="249" t="s">
        <v>6</v>
      </c>
      <c r="D32" s="249" t="s">
        <v>42</v>
      </c>
      <c r="E32" s="250" t="s">
        <v>49</v>
      </c>
      <c r="F32" s="251" t="s">
        <v>50</v>
      </c>
      <c r="G32" s="251" t="s">
        <v>51</v>
      </c>
    </row>
    <row r="33" spans="1:7" hidden="1" x14ac:dyDescent="0.3">
      <c r="A33" s="252" t="s">
        <v>63</v>
      </c>
      <c r="B33" s="252" t="s">
        <v>289</v>
      </c>
      <c r="C33" s="253" t="s">
        <v>75</v>
      </c>
      <c r="D33" s="252" t="s">
        <v>65</v>
      </c>
      <c r="E33" s="254" t="s">
        <v>413</v>
      </c>
      <c r="F33" s="254">
        <v>25.62</v>
      </c>
      <c r="G33" s="262">
        <f>TRUNC(F33*E33,2)</f>
        <v>61.12</v>
      </c>
    </row>
    <row r="34" spans="1:7" hidden="1" x14ac:dyDescent="0.3">
      <c r="A34" s="252" t="s">
        <v>63</v>
      </c>
      <c r="B34" s="252" t="s">
        <v>288</v>
      </c>
      <c r="C34" s="253" t="s">
        <v>66</v>
      </c>
      <c r="D34" s="252" t="s">
        <v>65</v>
      </c>
      <c r="E34" s="254" t="s">
        <v>414</v>
      </c>
      <c r="F34" s="254">
        <v>20.32</v>
      </c>
      <c r="G34" s="262">
        <f t="shared" ref="G34:G37" si="1">TRUNC(F34*E34,2)</f>
        <v>49.78</v>
      </c>
    </row>
    <row r="35" spans="1:7" ht="42" hidden="1" x14ac:dyDescent="0.3">
      <c r="A35" s="252" t="s">
        <v>63</v>
      </c>
      <c r="B35" s="252" t="s">
        <v>404</v>
      </c>
      <c r="C35" s="253" t="s">
        <v>405</v>
      </c>
      <c r="D35" s="252" t="s">
        <v>290</v>
      </c>
      <c r="E35" s="254" t="s">
        <v>415</v>
      </c>
      <c r="F35" s="254">
        <v>1.36</v>
      </c>
      <c r="G35" s="262">
        <f t="shared" si="1"/>
        <v>0.42</v>
      </c>
    </row>
    <row r="36" spans="1:7" ht="42" hidden="1" x14ac:dyDescent="0.3">
      <c r="A36" s="252" t="s">
        <v>63</v>
      </c>
      <c r="B36" s="252" t="s">
        <v>407</v>
      </c>
      <c r="C36" s="253" t="s">
        <v>408</v>
      </c>
      <c r="D36" s="252" t="s">
        <v>291</v>
      </c>
      <c r="E36" s="254" t="s">
        <v>416</v>
      </c>
      <c r="F36" s="255">
        <v>0.49</v>
      </c>
      <c r="G36" s="262">
        <f t="shared" si="1"/>
        <v>0.44</v>
      </c>
    </row>
    <row r="37" spans="1:7" ht="56" hidden="1" x14ac:dyDescent="0.3">
      <c r="A37" s="252" t="s">
        <v>63</v>
      </c>
      <c r="B37" s="252">
        <v>94971</v>
      </c>
      <c r="C37" s="253" t="s">
        <v>412</v>
      </c>
      <c r="D37" s="252" t="s">
        <v>69</v>
      </c>
      <c r="E37" s="254" t="s">
        <v>410</v>
      </c>
      <c r="F37" s="254">
        <v>564.07000000000005</v>
      </c>
      <c r="G37" s="262">
        <f t="shared" si="1"/>
        <v>648.67999999999995</v>
      </c>
    </row>
    <row r="38" spans="1:7" hidden="1" x14ac:dyDescent="0.3">
      <c r="A38" s="176" t="s">
        <v>417</v>
      </c>
      <c r="B38" s="176"/>
      <c r="C38" s="176"/>
      <c r="D38" s="176"/>
      <c r="E38" s="176"/>
      <c r="F38" s="256" t="s">
        <v>71</v>
      </c>
      <c r="G38" s="257">
        <f>TRUNC(G37+G36+G35+G34+G33,2)</f>
        <v>760.44</v>
      </c>
    </row>
    <row r="39" spans="1:7" hidden="1" x14ac:dyDescent="0.3">
      <c r="A39" s="136"/>
      <c r="B39" s="136"/>
      <c r="C39" s="136"/>
      <c r="D39" s="136"/>
      <c r="E39" s="136"/>
      <c r="F39" s="137"/>
      <c r="G39" s="264"/>
    </row>
    <row r="40" spans="1:7" hidden="1" x14ac:dyDescent="0.3">
      <c r="A40" s="564" t="s">
        <v>561</v>
      </c>
      <c r="B40" s="564"/>
      <c r="C40" s="564"/>
      <c r="D40" s="564"/>
      <c r="E40" s="564"/>
      <c r="F40" s="564"/>
      <c r="G40" s="564"/>
    </row>
    <row r="41" spans="1:7" ht="67.5" hidden="1" customHeight="1" x14ac:dyDescent="0.3">
      <c r="A41" s="556" t="s">
        <v>602</v>
      </c>
      <c r="B41" s="557"/>
      <c r="C41" s="557"/>
      <c r="D41" s="556" t="s">
        <v>42</v>
      </c>
      <c r="E41" s="557"/>
      <c r="F41" s="557"/>
      <c r="G41" s="557"/>
    </row>
    <row r="42" spans="1:7" hidden="1" x14ac:dyDescent="0.3">
      <c r="A42" s="249" t="s">
        <v>534</v>
      </c>
      <c r="B42" s="556" t="s">
        <v>535</v>
      </c>
      <c r="C42" s="556"/>
      <c r="D42" s="249" t="s">
        <v>536</v>
      </c>
      <c r="E42" s="250" t="s">
        <v>605</v>
      </c>
      <c r="F42" s="251" t="s">
        <v>537</v>
      </c>
      <c r="G42" s="251" t="s">
        <v>51</v>
      </c>
    </row>
    <row r="43" spans="1:7" hidden="1" x14ac:dyDescent="0.3">
      <c r="A43" s="269">
        <v>45323</v>
      </c>
      <c r="B43" s="565" t="s">
        <v>604</v>
      </c>
      <c r="C43" s="565"/>
      <c r="D43" s="252">
        <v>1</v>
      </c>
      <c r="E43" s="254" t="s">
        <v>606</v>
      </c>
      <c r="F43" s="254" t="s">
        <v>607</v>
      </c>
      <c r="G43" s="254">
        <v>6630.37</v>
      </c>
    </row>
    <row r="44" spans="1:7" hidden="1" x14ac:dyDescent="0.3">
      <c r="A44" s="269">
        <v>45324</v>
      </c>
      <c r="B44" s="566" t="s">
        <v>617</v>
      </c>
      <c r="C44" s="566"/>
      <c r="D44" s="252">
        <v>1</v>
      </c>
      <c r="E44" s="254" t="s">
        <v>618</v>
      </c>
      <c r="F44" s="254" t="s">
        <v>619</v>
      </c>
      <c r="G44" s="254">
        <v>6012.02</v>
      </c>
    </row>
    <row r="45" spans="1:7" hidden="1" x14ac:dyDescent="0.3">
      <c r="A45" s="269">
        <v>45327</v>
      </c>
      <c r="B45" s="566" t="s">
        <v>622</v>
      </c>
      <c r="C45" s="566"/>
      <c r="D45" s="252">
        <v>1</v>
      </c>
      <c r="E45" s="254" t="s">
        <v>621</v>
      </c>
      <c r="F45" s="254" t="s">
        <v>620</v>
      </c>
      <c r="G45" s="254">
        <v>7000</v>
      </c>
    </row>
    <row r="46" spans="1:7" hidden="1" x14ac:dyDescent="0.3">
      <c r="F46" s="270" t="s">
        <v>540</v>
      </c>
      <c r="G46" s="271">
        <f>SMALL(G43:G45,1)</f>
        <v>6012.02</v>
      </c>
    </row>
    <row r="47" spans="1:7" hidden="1" x14ac:dyDescent="0.3">
      <c r="A47" s="136"/>
      <c r="B47" s="136"/>
      <c r="C47" s="136"/>
      <c r="D47" s="136"/>
      <c r="E47" s="136"/>
      <c r="F47" s="137"/>
      <c r="G47" s="264"/>
    </row>
    <row r="48" spans="1:7" hidden="1" x14ac:dyDescent="0.3">
      <c r="A48" s="564" t="s">
        <v>562</v>
      </c>
      <c r="B48" s="564"/>
      <c r="C48" s="564"/>
      <c r="D48" s="564"/>
      <c r="E48" s="564"/>
      <c r="F48" s="564"/>
      <c r="G48" s="564"/>
    </row>
    <row r="49" spans="1:7" ht="73.5" hidden="1" customHeight="1" x14ac:dyDescent="0.3">
      <c r="A49" s="556" t="s">
        <v>603</v>
      </c>
      <c r="B49" s="557"/>
      <c r="C49" s="557"/>
      <c r="D49" s="556" t="s">
        <v>42</v>
      </c>
      <c r="E49" s="557"/>
      <c r="F49" s="557"/>
      <c r="G49" s="557"/>
    </row>
    <row r="50" spans="1:7" hidden="1" x14ac:dyDescent="0.3">
      <c r="A50" s="249" t="s">
        <v>534</v>
      </c>
      <c r="B50" s="556" t="s">
        <v>535</v>
      </c>
      <c r="C50" s="556"/>
      <c r="D50" s="249" t="s">
        <v>536</v>
      </c>
      <c r="E50" s="250" t="s">
        <v>605</v>
      </c>
      <c r="F50" s="251" t="s">
        <v>537</v>
      </c>
      <c r="G50" s="251" t="s">
        <v>51</v>
      </c>
    </row>
    <row r="51" spans="1:7" hidden="1" x14ac:dyDescent="0.3">
      <c r="A51" s="269">
        <v>45323</v>
      </c>
      <c r="B51" s="565" t="s">
        <v>604</v>
      </c>
      <c r="C51" s="565"/>
      <c r="D51" s="252">
        <v>1</v>
      </c>
      <c r="E51" s="254" t="s">
        <v>606</v>
      </c>
      <c r="F51" s="254" t="s">
        <v>607</v>
      </c>
      <c r="G51" s="254">
        <v>5850.36</v>
      </c>
    </row>
    <row r="52" spans="1:7" hidden="1" x14ac:dyDescent="0.3">
      <c r="A52" s="269">
        <v>45324</v>
      </c>
      <c r="B52" s="566" t="s">
        <v>617</v>
      </c>
      <c r="C52" s="566"/>
      <c r="D52" s="252">
        <v>1</v>
      </c>
      <c r="E52" s="254" t="s">
        <v>618</v>
      </c>
      <c r="F52" s="254" t="s">
        <v>619</v>
      </c>
      <c r="G52" s="254">
        <v>5492.04</v>
      </c>
    </row>
    <row r="53" spans="1:7" hidden="1" x14ac:dyDescent="0.3">
      <c r="A53" s="269">
        <v>45327</v>
      </c>
      <c r="B53" s="566" t="s">
        <v>622</v>
      </c>
      <c r="C53" s="566"/>
      <c r="D53" s="252">
        <v>1</v>
      </c>
      <c r="E53" s="254" t="s">
        <v>621</v>
      </c>
      <c r="F53" s="254" t="s">
        <v>620</v>
      </c>
      <c r="G53" s="254">
        <v>6500</v>
      </c>
    </row>
    <row r="54" spans="1:7" hidden="1" x14ac:dyDescent="0.3">
      <c r="F54" s="270" t="s">
        <v>540</v>
      </c>
      <c r="G54" s="271">
        <f>SMALL(G51:G53,1)</f>
        <v>5492.04</v>
      </c>
    </row>
    <row r="55" spans="1:7" hidden="1" x14ac:dyDescent="0.3">
      <c r="A55" s="136"/>
      <c r="B55" s="136"/>
      <c r="C55" s="136"/>
      <c r="D55" s="136"/>
      <c r="E55" s="136"/>
      <c r="F55" s="137"/>
      <c r="G55" s="264"/>
    </row>
    <row r="56" spans="1:7" hidden="1" x14ac:dyDescent="0.3">
      <c r="A56" s="564" t="s">
        <v>563</v>
      </c>
      <c r="B56" s="564"/>
      <c r="C56" s="564"/>
      <c r="D56" s="564"/>
      <c r="E56" s="564"/>
      <c r="F56" s="564"/>
      <c r="G56" s="564"/>
    </row>
    <row r="57" spans="1:7" ht="64.5" hidden="1" customHeight="1" x14ac:dyDescent="0.3">
      <c r="A57" s="556" t="s">
        <v>614</v>
      </c>
      <c r="B57" s="557"/>
      <c r="C57" s="557"/>
      <c r="D57" s="556" t="s">
        <v>42</v>
      </c>
      <c r="E57" s="557"/>
      <c r="F57" s="557"/>
      <c r="G57" s="557"/>
    </row>
    <row r="58" spans="1:7" ht="22.5" hidden="1" customHeight="1" x14ac:dyDescent="0.3">
      <c r="A58" s="249" t="s">
        <v>534</v>
      </c>
      <c r="B58" s="556" t="s">
        <v>535</v>
      </c>
      <c r="C58" s="556"/>
      <c r="D58" s="249" t="s">
        <v>536</v>
      </c>
      <c r="E58" s="250" t="s">
        <v>605</v>
      </c>
      <c r="F58" s="251" t="s">
        <v>537</v>
      </c>
      <c r="G58" s="251" t="s">
        <v>51</v>
      </c>
    </row>
    <row r="59" spans="1:7" hidden="1" x14ac:dyDescent="0.3">
      <c r="A59" s="269">
        <v>45323</v>
      </c>
      <c r="B59" s="565" t="s">
        <v>625</v>
      </c>
      <c r="C59" s="565"/>
      <c r="D59" s="252">
        <v>1</v>
      </c>
      <c r="E59" s="254" t="s">
        <v>623</v>
      </c>
      <c r="F59" s="254" t="s">
        <v>624</v>
      </c>
      <c r="G59" s="254">
        <v>11100</v>
      </c>
    </row>
    <row r="60" spans="1:7" hidden="1" x14ac:dyDescent="0.3">
      <c r="A60" s="269">
        <v>45327</v>
      </c>
      <c r="B60" s="566" t="s">
        <v>622</v>
      </c>
      <c r="C60" s="566"/>
      <c r="D60" s="252">
        <v>1</v>
      </c>
      <c r="E60" s="254" t="s">
        <v>621</v>
      </c>
      <c r="F60" s="254" t="s">
        <v>620</v>
      </c>
      <c r="G60" s="254">
        <v>13000</v>
      </c>
    </row>
    <row r="61" spans="1:7" hidden="1" x14ac:dyDescent="0.3">
      <c r="A61" s="269">
        <v>45327</v>
      </c>
      <c r="B61" s="566" t="s">
        <v>628</v>
      </c>
      <c r="C61" s="566"/>
      <c r="D61" s="252">
        <v>1</v>
      </c>
      <c r="E61" s="254" t="s">
        <v>626</v>
      </c>
      <c r="F61" s="254" t="s">
        <v>627</v>
      </c>
      <c r="G61" s="254">
        <v>12000</v>
      </c>
    </row>
    <row r="62" spans="1:7" hidden="1" x14ac:dyDescent="0.3">
      <c r="F62" s="270" t="s">
        <v>540</v>
      </c>
      <c r="G62" s="271">
        <f>SMALL(G59:G61,1)</f>
        <v>11100</v>
      </c>
    </row>
    <row r="63" spans="1:7" hidden="1" x14ac:dyDescent="0.3">
      <c r="A63" s="136"/>
      <c r="B63" s="136"/>
      <c r="C63" s="136"/>
      <c r="D63" s="136"/>
      <c r="E63" s="136"/>
      <c r="F63" s="137"/>
      <c r="G63" s="264"/>
    </row>
    <row r="64" spans="1:7" ht="14.5" hidden="1" thickBot="1" x14ac:dyDescent="0.35">
      <c r="A64" s="586"/>
      <c r="B64" s="587"/>
      <c r="C64" s="587"/>
      <c r="D64" s="587"/>
      <c r="E64" s="587"/>
      <c r="F64" s="587"/>
      <c r="G64" s="588"/>
    </row>
    <row r="65" spans="1:7" hidden="1" x14ac:dyDescent="0.3">
      <c r="A65" s="558" t="s">
        <v>418</v>
      </c>
      <c r="B65" s="559"/>
      <c r="C65" s="559"/>
      <c r="D65" s="559"/>
      <c r="E65" s="559"/>
      <c r="F65" s="559"/>
      <c r="G65" s="560"/>
    </row>
    <row r="66" spans="1:7" ht="66.75" hidden="1" customHeight="1" x14ac:dyDescent="0.3">
      <c r="A66" s="561" t="s">
        <v>379</v>
      </c>
      <c r="B66" s="562"/>
      <c r="C66" s="562"/>
      <c r="D66" s="561" t="s">
        <v>42</v>
      </c>
      <c r="E66" s="562"/>
      <c r="F66" s="562"/>
      <c r="G66" s="562"/>
    </row>
    <row r="67" spans="1:7" ht="28" hidden="1" x14ac:dyDescent="0.3">
      <c r="A67" s="216" t="s">
        <v>47</v>
      </c>
      <c r="B67" s="216" t="s">
        <v>48</v>
      </c>
      <c r="C67" s="216" t="s">
        <v>6</v>
      </c>
      <c r="D67" s="216" t="s">
        <v>42</v>
      </c>
      <c r="E67" s="217" t="s">
        <v>49</v>
      </c>
      <c r="F67" s="212" t="s">
        <v>50</v>
      </c>
      <c r="G67" s="212" t="s">
        <v>51</v>
      </c>
    </row>
    <row r="68" spans="1:7" ht="28" hidden="1" x14ac:dyDescent="0.3">
      <c r="A68" s="252" t="s">
        <v>52</v>
      </c>
      <c r="B68" s="252" t="s">
        <v>419</v>
      </c>
      <c r="C68" s="253" t="s">
        <v>420</v>
      </c>
      <c r="D68" s="252" t="s">
        <v>77</v>
      </c>
      <c r="E68" s="254" t="s">
        <v>421</v>
      </c>
      <c r="F68" s="254">
        <v>3</v>
      </c>
      <c r="G68" s="262">
        <f t="shared" ref="G68:G70" si="2">TRUNC(F68*E68,2)</f>
        <v>9</v>
      </c>
    </row>
    <row r="69" spans="1:7" ht="28" hidden="1" x14ac:dyDescent="0.3">
      <c r="A69" s="252" t="s">
        <v>52</v>
      </c>
      <c r="B69" s="252">
        <v>3659</v>
      </c>
      <c r="C69" s="253" t="s">
        <v>429</v>
      </c>
      <c r="D69" s="252" t="s">
        <v>77</v>
      </c>
      <c r="E69" s="254" t="s">
        <v>55</v>
      </c>
      <c r="F69" s="254">
        <v>19.29</v>
      </c>
      <c r="G69" s="262">
        <f t="shared" si="2"/>
        <v>19.29</v>
      </c>
    </row>
    <row r="70" spans="1:7" ht="56" hidden="1" x14ac:dyDescent="0.3">
      <c r="A70" s="252" t="s">
        <v>52</v>
      </c>
      <c r="B70" s="252" t="s">
        <v>422</v>
      </c>
      <c r="C70" s="253" t="s">
        <v>423</v>
      </c>
      <c r="D70" s="252" t="s">
        <v>77</v>
      </c>
      <c r="E70" s="254" t="s">
        <v>424</v>
      </c>
      <c r="F70" s="254">
        <v>31.75</v>
      </c>
      <c r="G70" s="262">
        <f t="shared" si="2"/>
        <v>5.47</v>
      </c>
    </row>
    <row r="71" spans="1:7" ht="42" hidden="1" x14ac:dyDescent="0.3">
      <c r="A71" s="252" t="s">
        <v>63</v>
      </c>
      <c r="B71" s="252" t="s">
        <v>425</v>
      </c>
      <c r="C71" s="253" t="s">
        <v>426</v>
      </c>
      <c r="D71" s="252" t="s">
        <v>65</v>
      </c>
      <c r="E71" s="254" t="s">
        <v>427</v>
      </c>
      <c r="F71" s="255">
        <v>19.89</v>
      </c>
      <c r="G71" s="262">
        <f>TRUNC(F71*E71,2)</f>
        <v>5.0999999999999996</v>
      </c>
    </row>
    <row r="72" spans="1:7" ht="28" hidden="1" x14ac:dyDescent="0.3">
      <c r="A72" s="252" t="s">
        <v>63</v>
      </c>
      <c r="B72" s="252" t="s">
        <v>332</v>
      </c>
      <c r="C72" s="253" t="s">
        <v>333</v>
      </c>
      <c r="D72" s="252" t="s">
        <v>65</v>
      </c>
      <c r="E72" s="254" t="s">
        <v>427</v>
      </c>
      <c r="F72" s="254">
        <v>24.24</v>
      </c>
      <c r="G72" s="262">
        <f>TRUNC(F72*E72,2)</f>
        <v>6.22</v>
      </c>
    </row>
    <row r="73" spans="1:7" hidden="1" x14ac:dyDescent="0.3">
      <c r="A73" s="563" t="s">
        <v>428</v>
      </c>
      <c r="B73" s="563"/>
      <c r="C73" s="563"/>
      <c r="D73" s="563"/>
      <c r="E73" s="563"/>
      <c r="F73" s="258" t="s">
        <v>71</v>
      </c>
      <c r="G73" s="259">
        <f>TRUNC(G69+G70+G68+G71+G72,2)</f>
        <v>45.08</v>
      </c>
    </row>
    <row r="74" spans="1:7" ht="14.5" hidden="1" thickBot="1" x14ac:dyDescent="0.35">
      <c r="A74" s="234"/>
      <c r="B74" s="234"/>
      <c r="C74" s="234"/>
      <c r="D74" s="234"/>
      <c r="E74" s="234"/>
      <c r="F74" s="266"/>
      <c r="G74" s="265"/>
    </row>
    <row r="75" spans="1:7" hidden="1" x14ac:dyDescent="0.3">
      <c r="A75" s="558" t="s">
        <v>466</v>
      </c>
      <c r="B75" s="559"/>
      <c r="C75" s="559"/>
      <c r="D75" s="559"/>
      <c r="E75" s="559"/>
      <c r="F75" s="559"/>
      <c r="G75" s="560"/>
    </row>
    <row r="76" spans="1:7" ht="58.5" hidden="1" customHeight="1" x14ac:dyDescent="0.3">
      <c r="A76" s="561" t="s">
        <v>467</v>
      </c>
      <c r="B76" s="562"/>
      <c r="C76" s="562"/>
      <c r="D76" s="561" t="s">
        <v>42</v>
      </c>
      <c r="E76" s="562"/>
      <c r="F76" s="562"/>
      <c r="G76" s="562"/>
    </row>
    <row r="77" spans="1:7" ht="28" hidden="1" x14ac:dyDescent="0.3">
      <c r="A77" s="216" t="s">
        <v>47</v>
      </c>
      <c r="B77" s="216" t="s">
        <v>48</v>
      </c>
      <c r="C77" s="216" t="s">
        <v>6</v>
      </c>
      <c r="D77" s="216" t="s">
        <v>42</v>
      </c>
      <c r="E77" s="217" t="s">
        <v>49</v>
      </c>
      <c r="F77" s="212" t="s">
        <v>50</v>
      </c>
      <c r="G77" s="212" t="s">
        <v>51</v>
      </c>
    </row>
    <row r="78" spans="1:7" ht="42" hidden="1" x14ac:dyDescent="0.3">
      <c r="A78" s="252" t="s">
        <v>52</v>
      </c>
      <c r="B78" s="252" t="s">
        <v>468</v>
      </c>
      <c r="C78" s="253" t="s">
        <v>469</v>
      </c>
      <c r="D78" s="252" t="s">
        <v>77</v>
      </c>
      <c r="E78" s="254" t="s">
        <v>55</v>
      </c>
      <c r="F78" s="254">
        <v>32.89</v>
      </c>
      <c r="G78" s="262">
        <f t="shared" ref="G78:G99" si="3">TRUNC(F78*E78,2)</f>
        <v>32.89</v>
      </c>
    </row>
    <row r="79" spans="1:7" ht="42" hidden="1" x14ac:dyDescent="0.3">
      <c r="A79" s="252" t="s">
        <v>52</v>
      </c>
      <c r="B79" s="252" t="s">
        <v>470</v>
      </c>
      <c r="C79" s="253" t="s">
        <v>471</v>
      </c>
      <c r="D79" s="252" t="s">
        <v>77</v>
      </c>
      <c r="E79" s="254" t="s">
        <v>55</v>
      </c>
      <c r="F79" s="254">
        <v>6.81</v>
      </c>
      <c r="G79" s="262">
        <f t="shared" si="3"/>
        <v>6.81</v>
      </c>
    </row>
    <row r="80" spans="1:7" ht="56" hidden="1" x14ac:dyDescent="0.3">
      <c r="A80" s="252" t="s">
        <v>52</v>
      </c>
      <c r="B80" s="252" t="s">
        <v>472</v>
      </c>
      <c r="C80" s="253" t="s">
        <v>473</v>
      </c>
      <c r="D80" s="252" t="s">
        <v>77</v>
      </c>
      <c r="E80" s="254" t="s">
        <v>421</v>
      </c>
      <c r="F80" s="254">
        <v>10.96</v>
      </c>
      <c r="G80" s="262">
        <f t="shared" si="3"/>
        <v>32.880000000000003</v>
      </c>
    </row>
    <row r="81" spans="1:7" ht="56" hidden="1" x14ac:dyDescent="0.3">
      <c r="A81" s="252" t="s">
        <v>52</v>
      </c>
      <c r="B81" s="252" t="s">
        <v>474</v>
      </c>
      <c r="C81" s="253" t="s">
        <v>475</v>
      </c>
      <c r="D81" s="252" t="s">
        <v>77</v>
      </c>
      <c r="E81" s="254" t="s">
        <v>67</v>
      </c>
      <c r="F81" s="254">
        <v>1.56</v>
      </c>
      <c r="G81" s="262">
        <f t="shared" si="3"/>
        <v>3.12</v>
      </c>
    </row>
    <row r="82" spans="1:7" ht="28" hidden="1" x14ac:dyDescent="0.3">
      <c r="A82" s="252" t="s">
        <v>52</v>
      </c>
      <c r="B82" s="252" t="s">
        <v>476</v>
      </c>
      <c r="C82" s="253" t="s">
        <v>477</v>
      </c>
      <c r="D82" s="252" t="s">
        <v>77</v>
      </c>
      <c r="E82" s="254" t="s">
        <v>55</v>
      </c>
      <c r="F82" s="254">
        <v>36.93</v>
      </c>
      <c r="G82" s="262">
        <f t="shared" si="3"/>
        <v>36.93</v>
      </c>
    </row>
    <row r="83" spans="1:7" ht="42" hidden="1" x14ac:dyDescent="0.3">
      <c r="A83" s="252" t="s">
        <v>52</v>
      </c>
      <c r="B83" s="252" t="s">
        <v>478</v>
      </c>
      <c r="C83" s="253" t="s">
        <v>479</v>
      </c>
      <c r="D83" s="252" t="s">
        <v>77</v>
      </c>
      <c r="E83" s="254" t="s">
        <v>57</v>
      </c>
      <c r="F83" s="254">
        <v>0.24</v>
      </c>
      <c r="G83" s="262">
        <f t="shared" si="3"/>
        <v>0.96</v>
      </c>
    </row>
    <row r="84" spans="1:7" ht="28" hidden="1" x14ac:dyDescent="0.3">
      <c r="A84" s="252" t="s">
        <v>52</v>
      </c>
      <c r="B84" s="252" t="s">
        <v>480</v>
      </c>
      <c r="C84" s="253" t="s">
        <v>481</v>
      </c>
      <c r="D84" s="252" t="s">
        <v>77</v>
      </c>
      <c r="E84" s="254" t="s">
        <v>482</v>
      </c>
      <c r="F84" s="254">
        <v>53.3</v>
      </c>
      <c r="G84" s="262">
        <f t="shared" si="3"/>
        <v>3.19</v>
      </c>
    </row>
    <row r="85" spans="1:7" ht="42" hidden="1" x14ac:dyDescent="0.3">
      <c r="A85" s="252" t="s">
        <v>52</v>
      </c>
      <c r="B85" s="252" t="s">
        <v>483</v>
      </c>
      <c r="C85" s="253" t="s">
        <v>484</v>
      </c>
      <c r="D85" s="252" t="s">
        <v>77</v>
      </c>
      <c r="E85" s="254" t="s">
        <v>55</v>
      </c>
      <c r="F85" s="254">
        <v>43.74</v>
      </c>
      <c r="G85" s="262">
        <f t="shared" si="3"/>
        <v>43.74</v>
      </c>
    </row>
    <row r="86" spans="1:7" ht="60.75" hidden="1" customHeight="1" x14ac:dyDescent="0.3">
      <c r="A86" s="252" t="s">
        <v>52</v>
      </c>
      <c r="B86" s="252" t="s">
        <v>485</v>
      </c>
      <c r="C86" s="253" t="s">
        <v>486</v>
      </c>
      <c r="D86" s="252" t="s">
        <v>77</v>
      </c>
      <c r="E86" s="254" t="s">
        <v>55</v>
      </c>
      <c r="F86" s="254">
        <v>224.91</v>
      </c>
      <c r="G86" s="262">
        <f t="shared" si="3"/>
        <v>224.91</v>
      </c>
    </row>
    <row r="87" spans="1:7" ht="28" hidden="1" x14ac:dyDescent="0.3">
      <c r="A87" s="252" t="s">
        <v>52</v>
      </c>
      <c r="B87" s="252" t="s">
        <v>487</v>
      </c>
      <c r="C87" s="253" t="s">
        <v>488</v>
      </c>
      <c r="D87" s="252" t="s">
        <v>54</v>
      </c>
      <c r="E87" s="254" t="s">
        <v>489</v>
      </c>
      <c r="F87" s="254">
        <v>3.7</v>
      </c>
      <c r="G87" s="262">
        <f t="shared" si="3"/>
        <v>0.61</v>
      </c>
    </row>
    <row r="88" spans="1:7" hidden="1" x14ac:dyDescent="0.3">
      <c r="A88" s="252" t="s">
        <v>52</v>
      </c>
      <c r="B88" s="252" t="s">
        <v>490</v>
      </c>
      <c r="C88" s="253" t="s">
        <v>491</v>
      </c>
      <c r="D88" s="252" t="s">
        <v>77</v>
      </c>
      <c r="E88" s="254" t="s">
        <v>67</v>
      </c>
      <c r="F88" s="254">
        <v>0.33</v>
      </c>
      <c r="G88" s="262">
        <f t="shared" si="3"/>
        <v>0.66</v>
      </c>
    </row>
    <row r="89" spans="1:7" ht="28" hidden="1" x14ac:dyDescent="0.3">
      <c r="A89" s="252" t="s">
        <v>63</v>
      </c>
      <c r="B89" s="252" t="s">
        <v>492</v>
      </c>
      <c r="C89" s="253" t="s">
        <v>493</v>
      </c>
      <c r="D89" s="252" t="s">
        <v>65</v>
      </c>
      <c r="E89" s="254" t="s">
        <v>494</v>
      </c>
      <c r="F89" s="254">
        <v>20.87</v>
      </c>
      <c r="G89" s="262">
        <f t="shared" si="3"/>
        <v>8.1300000000000008</v>
      </c>
    </row>
    <row r="90" spans="1:7" ht="28" hidden="1" x14ac:dyDescent="0.3">
      <c r="A90" s="252" t="s">
        <v>63</v>
      </c>
      <c r="B90" s="252" t="s">
        <v>495</v>
      </c>
      <c r="C90" s="253" t="s">
        <v>496</v>
      </c>
      <c r="D90" s="252" t="s">
        <v>65</v>
      </c>
      <c r="E90" s="254" t="s">
        <v>497</v>
      </c>
      <c r="F90" s="254">
        <v>25.3</v>
      </c>
      <c r="G90" s="262">
        <f t="shared" si="3"/>
        <v>88.74</v>
      </c>
    </row>
    <row r="91" spans="1:7" ht="56" hidden="1" x14ac:dyDescent="0.3">
      <c r="A91" s="252" t="s">
        <v>63</v>
      </c>
      <c r="B91" s="252" t="s">
        <v>498</v>
      </c>
      <c r="C91" s="253" t="s">
        <v>499</v>
      </c>
      <c r="D91" s="252" t="s">
        <v>54</v>
      </c>
      <c r="E91" s="254" t="s">
        <v>500</v>
      </c>
      <c r="F91" s="254">
        <v>17.63</v>
      </c>
      <c r="G91" s="262">
        <f t="shared" si="3"/>
        <v>106.66</v>
      </c>
    </row>
    <row r="92" spans="1:7" ht="56" hidden="1" x14ac:dyDescent="0.3">
      <c r="A92" s="252" t="s">
        <v>63</v>
      </c>
      <c r="B92" s="252" t="s">
        <v>501</v>
      </c>
      <c r="C92" s="253" t="s">
        <v>502</v>
      </c>
      <c r="D92" s="252" t="s">
        <v>77</v>
      </c>
      <c r="E92" s="254" t="s">
        <v>55</v>
      </c>
      <c r="F92" s="254">
        <v>11.95</v>
      </c>
      <c r="G92" s="262">
        <f t="shared" si="3"/>
        <v>11.95</v>
      </c>
    </row>
    <row r="93" spans="1:7" ht="56" hidden="1" x14ac:dyDescent="0.3">
      <c r="A93" s="252" t="s">
        <v>63</v>
      </c>
      <c r="B93" s="252" t="s">
        <v>503</v>
      </c>
      <c r="C93" s="253" t="s">
        <v>504</v>
      </c>
      <c r="D93" s="252" t="s">
        <v>77</v>
      </c>
      <c r="E93" s="254" t="s">
        <v>55</v>
      </c>
      <c r="F93" s="254">
        <v>19.73</v>
      </c>
      <c r="G93" s="262">
        <f t="shared" si="3"/>
        <v>19.73</v>
      </c>
    </row>
    <row r="94" spans="1:7" ht="56" hidden="1" x14ac:dyDescent="0.3">
      <c r="A94" s="252" t="s">
        <v>63</v>
      </c>
      <c r="B94" s="252" t="s">
        <v>505</v>
      </c>
      <c r="C94" s="253" t="s">
        <v>506</v>
      </c>
      <c r="D94" s="252" t="s">
        <v>77</v>
      </c>
      <c r="E94" s="254" t="s">
        <v>55</v>
      </c>
      <c r="F94" s="254">
        <v>21.94</v>
      </c>
      <c r="G94" s="262">
        <f t="shared" si="3"/>
        <v>21.94</v>
      </c>
    </row>
    <row r="95" spans="1:7" ht="56" hidden="1" x14ac:dyDescent="0.3">
      <c r="A95" s="252" t="s">
        <v>63</v>
      </c>
      <c r="B95" s="252" t="s">
        <v>507</v>
      </c>
      <c r="C95" s="253" t="s">
        <v>508</v>
      </c>
      <c r="D95" s="252" t="s">
        <v>54</v>
      </c>
      <c r="E95" s="254" t="s">
        <v>509</v>
      </c>
      <c r="F95" s="254">
        <v>14.6</v>
      </c>
      <c r="G95" s="262">
        <f t="shared" si="3"/>
        <v>243.09</v>
      </c>
    </row>
    <row r="96" spans="1:7" ht="42" hidden="1" x14ac:dyDescent="0.3">
      <c r="A96" s="252" t="s">
        <v>63</v>
      </c>
      <c r="B96" s="252" t="s">
        <v>510</v>
      </c>
      <c r="C96" s="253" t="s">
        <v>511</v>
      </c>
      <c r="D96" s="252" t="s">
        <v>77</v>
      </c>
      <c r="E96" s="254" t="s">
        <v>55</v>
      </c>
      <c r="F96" s="254">
        <v>68.819999999999993</v>
      </c>
      <c r="G96" s="262">
        <f t="shared" si="3"/>
        <v>68.819999999999993</v>
      </c>
    </row>
    <row r="97" spans="1:7" ht="28" hidden="1" x14ac:dyDescent="0.3">
      <c r="A97" s="252" t="s">
        <v>63</v>
      </c>
      <c r="B97" s="252" t="s">
        <v>512</v>
      </c>
      <c r="C97" s="253" t="s">
        <v>513</v>
      </c>
      <c r="D97" s="252" t="s">
        <v>54</v>
      </c>
      <c r="E97" s="254" t="s">
        <v>514</v>
      </c>
      <c r="F97" s="254">
        <v>52.25</v>
      </c>
      <c r="G97" s="262">
        <f t="shared" si="3"/>
        <v>101.88</v>
      </c>
    </row>
    <row r="98" spans="1:7" ht="42" hidden="1" x14ac:dyDescent="0.3">
      <c r="A98" s="252" t="s">
        <v>63</v>
      </c>
      <c r="B98" s="252" t="s">
        <v>515</v>
      </c>
      <c r="C98" s="253" t="s">
        <v>516</v>
      </c>
      <c r="D98" s="252" t="s">
        <v>77</v>
      </c>
      <c r="E98" s="254" t="s">
        <v>55</v>
      </c>
      <c r="F98" s="254">
        <v>116.1</v>
      </c>
      <c r="G98" s="262">
        <f t="shared" si="3"/>
        <v>116.1</v>
      </c>
    </row>
    <row r="99" spans="1:7" ht="70" hidden="1" x14ac:dyDescent="0.3">
      <c r="A99" s="252" t="s">
        <v>63</v>
      </c>
      <c r="B99" s="252" t="s">
        <v>517</v>
      </c>
      <c r="C99" s="253" t="s">
        <v>518</v>
      </c>
      <c r="D99" s="252" t="s">
        <v>77</v>
      </c>
      <c r="E99" s="254" t="s">
        <v>55</v>
      </c>
      <c r="F99" s="254">
        <v>454.66</v>
      </c>
      <c r="G99" s="262">
        <f t="shared" si="3"/>
        <v>454.66</v>
      </c>
    </row>
    <row r="100" spans="1:7" ht="42" hidden="1" x14ac:dyDescent="0.3">
      <c r="A100" s="252" t="s">
        <v>52</v>
      </c>
      <c r="B100" s="252">
        <v>41196</v>
      </c>
      <c r="C100" s="253" t="s">
        <v>520</v>
      </c>
      <c r="D100" s="252" t="s">
        <v>77</v>
      </c>
      <c r="E100" s="254">
        <v>1</v>
      </c>
      <c r="F100" s="254">
        <v>604.74</v>
      </c>
      <c r="G100" s="262">
        <f>TRUNC(F100*E100,2)</f>
        <v>604.74</v>
      </c>
    </row>
    <row r="101" spans="1:7" hidden="1" x14ac:dyDescent="0.3">
      <c r="A101" s="563" t="s">
        <v>519</v>
      </c>
      <c r="B101" s="563"/>
      <c r="C101" s="563"/>
      <c r="D101" s="563"/>
      <c r="E101" s="563"/>
      <c r="F101" s="258" t="s">
        <v>71</v>
      </c>
      <c r="G101" s="259">
        <f>TRUNC(G79+G80+G78+G81+G82+G83+G84+G85+G86+G87+G88+G89+G90+G91+G92+G93+G94+G95+G96+G97+G98+G99+G100,2)</f>
        <v>2233.14</v>
      </c>
    </row>
    <row r="102" spans="1:7" ht="52.5" hidden="1" customHeight="1" thickBot="1" x14ac:dyDescent="0.35">
      <c r="A102" s="234"/>
      <c r="B102" s="234"/>
      <c r="C102" s="234"/>
      <c r="D102" s="234"/>
      <c r="E102" s="234"/>
      <c r="F102" s="266"/>
      <c r="G102" s="265"/>
    </row>
    <row r="103" spans="1:7" hidden="1" x14ac:dyDescent="0.3">
      <c r="A103" s="558" t="s">
        <v>530</v>
      </c>
      <c r="B103" s="559"/>
      <c r="C103" s="559"/>
      <c r="D103" s="559"/>
      <c r="E103" s="559"/>
      <c r="F103" s="559"/>
      <c r="G103" s="560"/>
    </row>
    <row r="104" spans="1:7" hidden="1" x14ac:dyDescent="0.3">
      <c r="A104" s="561" t="s">
        <v>551</v>
      </c>
      <c r="B104" s="562"/>
      <c r="C104" s="562"/>
      <c r="D104" s="561" t="s">
        <v>42</v>
      </c>
      <c r="E104" s="562"/>
      <c r="F104" s="562"/>
      <c r="G104" s="562"/>
    </row>
    <row r="105" spans="1:7" ht="28" hidden="1" x14ac:dyDescent="0.3">
      <c r="A105" s="216" t="s">
        <v>47</v>
      </c>
      <c r="B105" s="216" t="s">
        <v>48</v>
      </c>
      <c r="C105" s="216" t="s">
        <v>6</v>
      </c>
      <c r="D105" s="216" t="s">
        <v>42</v>
      </c>
      <c r="E105" s="217" t="s">
        <v>49</v>
      </c>
      <c r="F105" s="212" t="s">
        <v>50</v>
      </c>
      <c r="G105" s="212" t="s">
        <v>51</v>
      </c>
    </row>
    <row r="106" spans="1:7" hidden="1" x14ac:dyDescent="0.3">
      <c r="A106" s="252" t="s">
        <v>52</v>
      </c>
      <c r="B106" s="252" t="s">
        <v>608</v>
      </c>
      <c r="C106" s="253" t="s">
        <v>533</v>
      </c>
      <c r="D106" s="252" t="s">
        <v>77</v>
      </c>
      <c r="E106" s="254" t="s">
        <v>55</v>
      </c>
      <c r="F106" s="254">
        <f>G116</f>
        <v>142.13</v>
      </c>
      <c r="G106" s="262">
        <f t="shared" ref="G106:G108" si="4">TRUNC(F106*E106,2)</f>
        <v>142.13</v>
      </c>
    </row>
    <row r="107" spans="1:7" ht="28" hidden="1" x14ac:dyDescent="0.3">
      <c r="A107" s="252" t="s">
        <v>63</v>
      </c>
      <c r="B107" s="252" t="s">
        <v>492</v>
      </c>
      <c r="C107" s="253" t="s">
        <v>493</v>
      </c>
      <c r="D107" s="252" t="s">
        <v>65</v>
      </c>
      <c r="E107" s="254" t="s">
        <v>531</v>
      </c>
      <c r="F107" s="254">
        <v>20.87</v>
      </c>
      <c r="G107" s="262">
        <f t="shared" si="4"/>
        <v>7.72</v>
      </c>
    </row>
    <row r="108" spans="1:7" ht="28" hidden="1" x14ac:dyDescent="0.3">
      <c r="A108" s="252" t="s">
        <v>63</v>
      </c>
      <c r="B108" s="252" t="s">
        <v>495</v>
      </c>
      <c r="C108" s="253" t="s">
        <v>496</v>
      </c>
      <c r="D108" s="252" t="s">
        <v>65</v>
      </c>
      <c r="E108" s="254" t="s">
        <v>531</v>
      </c>
      <c r="F108" s="254">
        <v>25.3</v>
      </c>
      <c r="G108" s="262">
        <f t="shared" si="4"/>
        <v>9.36</v>
      </c>
    </row>
    <row r="109" spans="1:7" hidden="1" x14ac:dyDescent="0.3">
      <c r="A109" s="563" t="s">
        <v>532</v>
      </c>
      <c r="B109" s="563"/>
      <c r="C109" s="563"/>
      <c r="D109" s="563"/>
      <c r="E109" s="563"/>
      <c r="F109" s="258" t="s">
        <v>71</v>
      </c>
      <c r="G109" s="259">
        <f>TRUNC(G107+G108+G106,2)</f>
        <v>159.21</v>
      </c>
    </row>
    <row r="110" spans="1:7" ht="30" hidden="1" customHeight="1" x14ac:dyDescent="0.3">
      <c r="A110" s="234"/>
      <c r="B110" s="234"/>
      <c r="C110" s="234"/>
      <c r="D110" s="234"/>
      <c r="E110" s="234"/>
      <c r="F110" s="266"/>
      <c r="G110" s="265"/>
    </row>
    <row r="111" spans="1:7" hidden="1" x14ac:dyDescent="0.3">
      <c r="A111" s="564" t="s">
        <v>609</v>
      </c>
      <c r="B111" s="564"/>
      <c r="C111" s="564"/>
      <c r="D111" s="564"/>
      <c r="E111" s="564"/>
      <c r="F111" s="564"/>
      <c r="G111" s="564"/>
    </row>
    <row r="112" spans="1:7" hidden="1" x14ac:dyDescent="0.3">
      <c r="A112" s="249" t="s">
        <v>534</v>
      </c>
      <c r="B112" s="556" t="s">
        <v>543</v>
      </c>
      <c r="C112" s="556"/>
      <c r="D112" s="249" t="s">
        <v>536</v>
      </c>
      <c r="E112" s="250" t="s">
        <v>535</v>
      </c>
      <c r="F112" s="251" t="s">
        <v>537</v>
      </c>
      <c r="G112" s="251" t="s">
        <v>51</v>
      </c>
    </row>
    <row r="113" spans="1:7" ht="78" hidden="1" customHeight="1" x14ac:dyDescent="0.3">
      <c r="A113" s="269">
        <v>45316</v>
      </c>
      <c r="B113" s="565" t="s">
        <v>541</v>
      </c>
      <c r="C113" s="565"/>
      <c r="D113" s="252">
        <v>1</v>
      </c>
      <c r="E113" s="254" t="s">
        <v>542</v>
      </c>
      <c r="F113" s="254" t="s">
        <v>544</v>
      </c>
      <c r="G113" s="254">
        <v>142.13</v>
      </c>
    </row>
    <row r="114" spans="1:7" ht="87.75" hidden="1" customHeight="1" x14ac:dyDescent="0.3">
      <c r="A114" s="269">
        <v>45316</v>
      </c>
      <c r="B114" s="566" t="s">
        <v>547</v>
      </c>
      <c r="C114" s="566" t="s">
        <v>538</v>
      </c>
      <c r="D114" s="252">
        <v>1</v>
      </c>
      <c r="E114" s="254" t="s">
        <v>546</v>
      </c>
      <c r="F114" s="254" t="s">
        <v>545</v>
      </c>
      <c r="G114" s="254">
        <v>187</v>
      </c>
    </row>
    <row r="115" spans="1:7" ht="94.5" hidden="1" customHeight="1" x14ac:dyDescent="0.3">
      <c r="A115" s="269">
        <v>45316</v>
      </c>
      <c r="B115" s="566" t="s">
        <v>548</v>
      </c>
      <c r="C115" s="566" t="s">
        <v>539</v>
      </c>
      <c r="D115" s="252">
        <v>1</v>
      </c>
      <c r="E115" s="254" t="s">
        <v>549</v>
      </c>
      <c r="F115" s="254" t="s">
        <v>550</v>
      </c>
      <c r="G115" s="254">
        <v>166.4</v>
      </c>
    </row>
    <row r="116" spans="1:7" hidden="1" x14ac:dyDescent="0.3">
      <c r="F116" s="270" t="s">
        <v>540</v>
      </c>
      <c r="G116" s="271">
        <f>SMALL(G113:G115,1)</f>
        <v>142.13</v>
      </c>
    </row>
    <row r="117" spans="1:7" ht="62.25" hidden="1" customHeight="1" x14ac:dyDescent="0.3">
      <c r="A117" s="234"/>
      <c r="B117" s="234"/>
      <c r="C117" s="234"/>
      <c r="D117" s="234"/>
      <c r="E117" s="234"/>
      <c r="F117" s="266"/>
    </row>
    <row r="118" spans="1:7" ht="47.25" hidden="1" customHeight="1" thickBot="1" x14ac:dyDescent="0.35">
      <c r="A118" s="234"/>
      <c r="B118" s="234"/>
      <c r="C118" s="234"/>
      <c r="D118" s="234"/>
      <c r="E118" s="234"/>
      <c r="F118" s="266"/>
    </row>
    <row r="119" spans="1:7" hidden="1" x14ac:dyDescent="0.3">
      <c r="A119" s="558" t="s">
        <v>570</v>
      </c>
      <c r="B119" s="559"/>
      <c r="C119" s="559"/>
      <c r="D119" s="559"/>
      <c r="E119" s="559"/>
      <c r="F119" s="559"/>
      <c r="G119" s="560"/>
    </row>
    <row r="120" spans="1:7" ht="36" hidden="1" customHeight="1" x14ac:dyDescent="0.3">
      <c r="A120" s="561" t="s">
        <v>552</v>
      </c>
      <c r="B120" s="562"/>
      <c r="C120" s="562"/>
      <c r="D120" s="561" t="s">
        <v>42</v>
      </c>
      <c r="E120" s="562"/>
      <c r="F120" s="562"/>
      <c r="G120" s="562"/>
    </row>
    <row r="121" spans="1:7" ht="28" hidden="1" x14ac:dyDescent="0.3">
      <c r="A121" s="216" t="s">
        <v>47</v>
      </c>
      <c r="B121" s="216" t="s">
        <v>48</v>
      </c>
      <c r="C121" s="216" t="s">
        <v>6</v>
      </c>
      <c r="D121" s="216" t="s">
        <v>42</v>
      </c>
      <c r="E121" s="217" t="s">
        <v>49</v>
      </c>
      <c r="F121" s="212" t="s">
        <v>50</v>
      </c>
      <c r="G121" s="212" t="s">
        <v>51</v>
      </c>
    </row>
    <row r="122" spans="1:7" ht="28" hidden="1" x14ac:dyDescent="0.3">
      <c r="A122" s="252" t="s">
        <v>52</v>
      </c>
      <c r="B122" s="252" t="s">
        <v>611</v>
      </c>
      <c r="C122" s="253" t="s">
        <v>554</v>
      </c>
      <c r="D122" s="252" t="s">
        <v>77</v>
      </c>
      <c r="E122" s="254" t="s">
        <v>55</v>
      </c>
      <c r="F122" s="254">
        <f>G133</f>
        <v>113.18</v>
      </c>
      <c r="G122" s="262">
        <f t="shared" ref="G122:G125" si="5">TRUNC(F122*E122,2)</f>
        <v>113.18</v>
      </c>
    </row>
    <row r="123" spans="1:7" hidden="1" x14ac:dyDescent="0.3">
      <c r="A123" s="252" t="s">
        <v>52</v>
      </c>
      <c r="B123" s="252" t="s">
        <v>612</v>
      </c>
      <c r="C123" s="253" t="s">
        <v>564</v>
      </c>
      <c r="D123" s="252" t="s">
        <v>77</v>
      </c>
      <c r="E123" s="254" t="s">
        <v>55</v>
      </c>
      <c r="F123" s="254">
        <f>G140</f>
        <v>93.68</v>
      </c>
      <c r="G123" s="262">
        <f t="shared" ref="G123" si="6">TRUNC(F123*E123,2)</f>
        <v>93.68</v>
      </c>
    </row>
    <row r="124" spans="1:7" ht="28" hidden="1" x14ac:dyDescent="0.3">
      <c r="A124" s="252" t="s">
        <v>63</v>
      </c>
      <c r="B124" s="252" t="s">
        <v>492</v>
      </c>
      <c r="C124" s="253" t="s">
        <v>493</v>
      </c>
      <c r="D124" s="252" t="s">
        <v>65</v>
      </c>
      <c r="E124" s="254" t="s">
        <v>531</v>
      </c>
      <c r="F124" s="254">
        <v>20.87</v>
      </c>
      <c r="G124" s="262">
        <f t="shared" si="5"/>
        <v>7.72</v>
      </c>
    </row>
    <row r="125" spans="1:7" ht="28" hidden="1" x14ac:dyDescent="0.3">
      <c r="A125" s="252" t="s">
        <v>63</v>
      </c>
      <c r="B125" s="252" t="s">
        <v>495</v>
      </c>
      <c r="C125" s="253" t="s">
        <v>496</v>
      </c>
      <c r="D125" s="252" t="s">
        <v>65</v>
      </c>
      <c r="E125" s="254" t="s">
        <v>531</v>
      </c>
      <c r="F125" s="254">
        <v>25.3</v>
      </c>
      <c r="G125" s="262">
        <f t="shared" si="5"/>
        <v>9.36</v>
      </c>
    </row>
    <row r="126" spans="1:7" hidden="1" x14ac:dyDescent="0.3">
      <c r="A126" s="563" t="s">
        <v>532</v>
      </c>
      <c r="B126" s="563"/>
      <c r="C126" s="563"/>
      <c r="D126" s="563"/>
      <c r="E126" s="563"/>
      <c r="F126" s="258" t="s">
        <v>71</v>
      </c>
      <c r="G126" s="259">
        <f>TRUNC(G124+G125+G122+G123,2)</f>
        <v>223.94</v>
      </c>
    </row>
    <row r="127" spans="1:7" hidden="1" x14ac:dyDescent="0.3">
      <c r="A127" s="234"/>
      <c r="B127" s="234"/>
      <c r="C127" s="234"/>
      <c r="D127" s="234"/>
      <c r="E127" s="234"/>
      <c r="F127" s="266"/>
      <c r="G127" s="265"/>
    </row>
    <row r="128" spans="1:7" hidden="1" x14ac:dyDescent="0.3">
      <c r="A128" s="564" t="s">
        <v>610</v>
      </c>
      <c r="B128" s="564"/>
      <c r="C128" s="564"/>
      <c r="D128" s="564"/>
      <c r="E128" s="564"/>
      <c r="F128" s="564"/>
      <c r="G128" s="564"/>
    </row>
    <row r="129" spans="1:7" hidden="1" x14ac:dyDescent="0.3">
      <c r="A129" s="249" t="s">
        <v>534</v>
      </c>
      <c r="B129" s="556" t="s">
        <v>543</v>
      </c>
      <c r="C129" s="556"/>
      <c r="D129" s="249" t="s">
        <v>536</v>
      </c>
      <c r="E129" s="250" t="s">
        <v>535</v>
      </c>
      <c r="F129" s="251" t="s">
        <v>537</v>
      </c>
      <c r="G129" s="251" t="s">
        <v>51</v>
      </c>
    </row>
    <row r="130" spans="1:7" ht="84" hidden="1" customHeight="1" x14ac:dyDescent="0.3">
      <c r="A130" s="269">
        <v>45316</v>
      </c>
      <c r="B130" s="598" t="s">
        <v>553</v>
      </c>
      <c r="C130" s="598"/>
      <c r="D130" s="252">
        <v>1</v>
      </c>
      <c r="E130" s="254" t="s">
        <v>542</v>
      </c>
      <c r="F130" s="254" t="s">
        <v>544</v>
      </c>
      <c r="G130" s="254">
        <v>119.81</v>
      </c>
    </row>
    <row r="131" spans="1:7" ht="99.75" hidden="1" customHeight="1" x14ac:dyDescent="0.3">
      <c r="A131" s="269">
        <v>45316</v>
      </c>
      <c r="B131" s="598" t="s">
        <v>560</v>
      </c>
      <c r="C131" s="598"/>
      <c r="D131" s="252">
        <v>1</v>
      </c>
      <c r="E131" s="254" t="s">
        <v>556</v>
      </c>
      <c r="F131" s="254" t="s">
        <v>555</v>
      </c>
      <c r="G131" s="254">
        <v>152.41</v>
      </c>
    </row>
    <row r="132" spans="1:7" ht="122.25" hidden="1" customHeight="1" x14ac:dyDescent="0.3">
      <c r="A132" s="269">
        <v>45316</v>
      </c>
      <c r="B132" s="598" t="s">
        <v>558</v>
      </c>
      <c r="C132" s="598"/>
      <c r="D132" s="252">
        <v>1</v>
      </c>
      <c r="E132" s="254" t="s">
        <v>557</v>
      </c>
      <c r="F132" s="254" t="s">
        <v>559</v>
      </c>
      <c r="G132" s="254">
        <v>113.18</v>
      </c>
    </row>
    <row r="133" spans="1:7" hidden="1" x14ac:dyDescent="0.3">
      <c r="F133" s="270" t="s">
        <v>540</v>
      </c>
      <c r="G133" s="271">
        <f>SMALL(G130:G132,1)</f>
        <v>113.18</v>
      </c>
    </row>
    <row r="134" spans="1:7" hidden="1" x14ac:dyDescent="0.3">
      <c r="A134" s="234"/>
      <c r="B134" s="234"/>
      <c r="C134" s="234"/>
      <c r="D134" s="234"/>
      <c r="E134" s="234"/>
      <c r="F134" s="266"/>
    </row>
    <row r="135" spans="1:7" hidden="1" x14ac:dyDescent="0.3">
      <c r="A135" s="564" t="s">
        <v>613</v>
      </c>
      <c r="B135" s="564"/>
      <c r="C135" s="564"/>
      <c r="D135" s="564"/>
      <c r="E135" s="564"/>
      <c r="F135" s="564"/>
      <c r="G135" s="564"/>
    </row>
    <row r="136" spans="1:7" hidden="1" x14ac:dyDescent="0.3">
      <c r="A136" s="249" t="s">
        <v>534</v>
      </c>
      <c r="B136" s="556" t="s">
        <v>543</v>
      </c>
      <c r="C136" s="556"/>
      <c r="D136" s="249" t="s">
        <v>536</v>
      </c>
      <c r="E136" s="250" t="s">
        <v>535</v>
      </c>
      <c r="F136" s="251" t="s">
        <v>537</v>
      </c>
      <c r="G136" s="251" t="s">
        <v>51</v>
      </c>
    </row>
    <row r="137" spans="1:7" ht="102" hidden="1" customHeight="1" x14ac:dyDescent="0.3">
      <c r="A137" s="269">
        <v>45316</v>
      </c>
      <c r="B137" s="599" t="s">
        <v>567</v>
      </c>
      <c r="C137" s="599"/>
      <c r="D137" s="252">
        <v>1</v>
      </c>
      <c r="E137" s="254" t="s">
        <v>568</v>
      </c>
      <c r="F137" s="254" t="s">
        <v>569</v>
      </c>
      <c r="G137" s="254">
        <v>107.47</v>
      </c>
    </row>
    <row r="138" spans="1:7" ht="103.5" hidden="1" customHeight="1" x14ac:dyDescent="0.3">
      <c r="A138" s="269">
        <v>45316</v>
      </c>
      <c r="B138" s="598" t="s">
        <v>565</v>
      </c>
      <c r="C138" s="598"/>
      <c r="D138" s="252">
        <v>1</v>
      </c>
      <c r="E138" s="254" t="s">
        <v>556</v>
      </c>
      <c r="F138" s="254" t="s">
        <v>555</v>
      </c>
      <c r="G138" s="254">
        <v>93.68</v>
      </c>
    </row>
    <row r="139" spans="1:7" ht="100.5" hidden="1" customHeight="1" x14ac:dyDescent="0.3">
      <c r="A139" s="269">
        <v>45316</v>
      </c>
      <c r="B139" s="598" t="s">
        <v>566</v>
      </c>
      <c r="C139" s="598"/>
      <c r="D139" s="252">
        <v>1</v>
      </c>
      <c r="E139" s="254" t="s">
        <v>546</v>
      </c>
      <c r="F139" s="254" t="s">
        <v>545</v>
      </c>
      <c r="G139" s="254">
        <v>99.99</v>
      </c>
    </row>
    <row r="140" spans="1:7" hidden="1" x14ac:dyDescent="0.3">
      <c r="F140" s="270" t="s">
        <v>540</v>
      </c>
      <c r="G140" s="271">
        <f>SMALL(G137:G139,1)</f>
        <v>93.68</v>
      </c>
    </row>
    <row r="141" spans="1:7" ht="14.5" hidden="1" thickBot="1" x14ac:dyDescent="0.35">
      <c r="A141" s="234"/>
      <c r="B141" s="234"/>
      <c r="C141" s="234"/>
      <c r="D141" s="234"/>
      <c r="E141" s="234"/>
      <c r="F141" s="266"/>
    </row>
    <row r="142" spans="1:7" hidden="1" x14ac:dyDescent="0.3">
      <c r="A142" s="558" t="s">
        <v>578</v>
      </c>
      <c r="B142" s="559"/>
      <c r="C142" s="559"/>
      <c r="D142" s="559"/>
      <c r="E142" s="559"/>
      <c r="F142" s="559"/>
      <c r="G142" s="560"/>
    </row>
    <row r="143" spans="1:7" ht="87" hidden="1" customHeight="1" x14ac:dyDescent="0.3">
      <c r="A143" s="561" t="s">
        <v>577</v>
      </c>
      <c r="B143" s="562"/>
      <c r="C143" s="562"/>
      <c r="D143" s="561" t="s">
        <v>42</v>
      </c>
      <c r="E143" s="562"/>
      <c r="F143" s="562"/>
      <c r="G143" s="562"/>
    </row>
    <row r="144" spans="1:7" ht="28" hidden="1" x14ac:dyDescent="0.3">
      <c r="A144" s="216" t="s">
        <v>47</v>
      </c>
      <c r="B144" s="216" t="s">
        <v>48</v>
      </c>
      <c r="C144" s="216" t="s">
        <v>6</v>
      </c>
      <c r="D144" s="216" t="s">
        <v>42</v>
      </c>
      <c r="E144" s="217" t="s">
        <v>49</v>
      </c>
      <c r="F144" s="212" t="s">
        <v>50</v>
      </c>
      <c r="G144" s="212" t="s">
        <v>51</v>
      </c>
    </row>
    <row r="145" spans="1:7" ht="28" hidden="1" x14ac:dyDescent="0.3">
      <c r="A145" s="252" t="s">
        <v>52</v>
      </c>
      <c r="B145" s="252">
        <v>1328</v>
      </c>
      <c r="C145" s="253" t="s">
        <v>615</v>
      </c>
      <c r="D145" s="252" t="s">
        <v>61</v>
      </c>
      <c r="E145" s="254" t="s">
        <v>580</v>
      </c>
      <c r="F145" s="254">
        <v>12.31</v>
      </c>
      <c r="G145" s="262">
        <f>TRUNC(F145*E145,2)</f>
        <v>0.37</v>
      </c>
    </row>
    <row r="146" spans="1:7" ht="28" hidden="1" x14ac:dyDescent="0.3">
      <c r="A146" s="252" t="s">
        <v>52</v>
      </c>
      <c r="B146" s="252">
        <v>43692</v>
      </c>
      <c r="C146" s="282" t="s">
        <v>616</v>
      </c>
      <c r="D146" s="252" t="s">
        <v>61</v>
      </c>
      <c r="E146" s="254" t="s">
        <v>581</v>
      </c>
      <c r="F146" s="254">
        <v>9.1199999999999992</v>
      </c>
      <c r="G146" s="262">
        <f>TRUNC(F146*E146,2)</f>
        <v>9.94</v>
      </c>
    </row>
    <row r="147" spans="1:7" ht="28" hidden="1" x14ac:dyDescent="0.3">
      <c r="A147" s="252" t="s">
        <v>63</v>
      </c>
      <c r="B147" s="252" t="s">
        <v>582</v>
      </c>
      <c r="C147" s="253" t="s">
        <v>583</v>
      </c>
      <c r="D147" s="252" t="s">
        <v>65</v>
      </c>
      <c r="E147" s="254" t="s">
        <v>584</v>
      </c>
      <c r="F147" s="254">
        <v>19.29</v>
      </c>
      <c r="G147" s="262">
        <f t="shared" ref="G147:G153" si="7">TRUNC(F147*E147,2)</f>
        <v>0.08</v>
      </c>
    </row>
    <row r="148" spans="1:7" ht="28" hidden="1" x14ac:dyDescent="0.3">
      <c r="A148" s="252" t="s">
        <v>63</v>
      </c>
      <c r="B148" s="252" t="s">
        <v>585</v>
      </c>
      <c r="C148" s="253" t="s">
        <v>586</v>
      </c>
      <c r="D148" s="252" t="s">
        <v>65</v>
      </c>
      <c r="E148" s="254" t="s">
        <v>587</v>
      </c>
      <c r="F148" s="254">
        <v>21.28</v>
      </c>
      <c r="G148" s="262">
        <f t="shared" si="7"/>
        <v>0.28999999999999998</v>
      </c>
    </row>
    <row r="149" spans="1:7" hidden="1" x14ac:dyDescent="0.3">
      <c r="A149" s="252" t="s">
        <v>63</v>
      </c>
      <c r="B149" s="252" t="s">
        <v>588</v>
      </c>
      <c r="C149" s="253" t="s">
        <v>589</v>
      </c>
      <c r="D149" s="252" t="s">
        <v>65</v>
      </c>
      <c r="E149" s="254" t="s">
        <v>590</v>
      </c>
      <c r="F149" s="254">
        <v>24.98</v>
      </c>
      <c r="G149" s="262">
        <f t="shared" si="7"/>
        <v>0.45</v>
      </c>
    </row>
    <row r="150" spans="1:7" ht="56" hidden="1" x14ac:dyDescent="0.3">
      <c r="A150" s="252" t="s">
        <v>63</v>
      </c>
      <c r="B150" s="252" t="s">
        <v>591</v>
      </c>
      <c r="C150" s="253" t="s">
        <v>592</v>
      </c>
      <c r="D150" s="252" t="s">
        <v>290</v>
      </c>
      <c r="E150" s="254" t="s">
        <v>593</v>
      </c>
      <c r="F150" s="254">
        <v>337.94</v>
      </c>
      <c r="G150" s="262">
        <f t="shared" si="7"/>
        <v>1.35</v>
      </c>
    </row>
    <row r="151" spans="1:7" ht="56" hidden="1" x14ac:dyDescent="0.3">
      <c r="A151" s="252" t="s">
        <v>63</v>
      </c>
      <c r="B151" s="252" t="s">
        <v>594</v>
      </c>
      <c r="C151" s="253" t="s">
        <v>595</v>
      </c>
      <c r="D151" s="252" t="s">
        <v>291</v>
      </c>
      <c r="E151" s="254" t="s">
        <v>596</v>
      </c>
      <c r="F151" s="254">
        <v>168.46</v>
      </c>
      <c r="G151" s="262">
        <f t="shared" si="7"/>
        <v>0.62</v>
      </c>
    </row>
    <row r="152" spans="1:7" ht="42" hidden="1" x14ac:dyDescent="0.3">
      <c r="A152" s="252" t="s">
        <v>63</v>
      </c>
      <c r="B152" s="252" t="s">
        <v>597</v>
      </c>
      <c r="C152" s="253" t="s">
        <v>598</v>
      </c>
      <c r="D152" s="252" t="s">
        <v>59</v>
      </c>
      <c r="E152" s="254" t="s">
        <v>599</v>
      </c>
      <c r="F152" s="254">
        <v>26.34</v>
      </c>
      <c r="G152" s="262">
        <f t="shared" si="7"/>
        <v>0.94</v>
      </c>
    </row>
    <row r="153" spans="1:7" ht="56" hidden="1" x14ac:dyDescent="0.3">
      <c r="A153" s="252" t="s">
        <v>63</v>
      </c>
      <c r="B153" s="252" t="s">
        <v>600</v>
      </c>
      <c r="C153" s="253" t="s">
        <v>601</v>
      </c>
      <c r="D153" s="252" t="s">
        <v>59</v>
      </c>
      <c r="E153" s="254" t="s">
        <v>599</v>
      </c>
      <c r="F153" s="254">
        <v>9.51</v>
      </c>
      <c r="G153" s="262">
        <f t="shared" si="7"/>
        <v>0.34</v>
      </c>
    </row>
    <row r="154" spans="1:7" hidden="1" x14ac:dyDescent="0.3">
      <c r="A154" s="563" t="s">
        <v>579</v>
      </c>
      <c r="B154" s="563"/>
      <c r="C154" s="563"/>
      <c r="D154" s="563"/>
      <c r="E154" s="563"/>
      <c r="F154" s="258" t="s">
        <v>71</v>
      </c>
      <c r="G154" s="259">
        <f>TRUNC(G146+G147+G145+G148+G149+G150+G151+G152+G153,2)</f>
        <v>14.38</v>
      </c>
    </row>
    <row r="155" spans="1:7" x14ac:dyDescent="0.3">
      <c r="A155" s="234"/>
      <c r="B155" s="234"/>
      <c r="C155" s="234"/>
      <c r="D155" s="234"/>
      <c r="E155" s="234"/>
    </row>
    <row r="156" spans="1:7" x14ac:dyDescent="0.3">
      <c r="C156" s="196"/>
      <c r="D156" s="196"/>
      <c r="E156" s="196"/>
    </row>
    <row r="157" spans="1:7" x14ac:dyDescent="0.3">
      <c r="C157" s="196"/>
      <c r="D157" s="196"/>
      <c r="E157" s="196"/>
    </row>
    <row r="158" spans="1:7" x14ac:dyDescent="0.3">
      <c r="C158" s="196"/>
      <c r="D158" s="196"/>
      <c r="E158" s="196"/>
    </row>
    <row r="159" spans="1:7" x14ac:dyDescent="0.3">
      <c r="C159" s="196"/>
      <c r="D159" s="196"/>
      <c r="E159" s="196"/>
    </row>
    <row r="160" spans="1:7" x14ac:dyDescent="0.3">
      <c r="C160" s="196"/>
      <c r="D160" s="196"/>
      <c r="E160" s="196"/>
    </row>
  </sheetData>
  <mergeCells count="78">
    <mergeCell ref="B139:C139"/>
    <mergeCell ref="B132:C132"/>
    <mergeCell ref="A135:G135"/>
    <mergeCell ref="B136:C136"/>
    <mergeCell ref="B137:C137"/>
    <mergeCell ref="B138:C138"/>
    <mergeCell ref="A126:E126"/>
    <mergeCell ref="A128:G128"/>
    <mergeCell ref="B129:C129"/>
    <mergeCell ref="B130:C130"/>
    <mergeCell ref="B131:C131"/>
    <mergeCell ref="B113:C113"/>
    <mergeCell ref="B114:C114"/>
    <mergeCell ref="B115:C115"/>
    <mergeCell ref="A119:G119"/>
    <mergeCell ref="A120:C120"/>
    <mergeCell ref="D120:G120"/>
    <mergeCell ref="A19:G19"/>
    <mergeCell ref="A20:C20"/>
    <mergeCell ref="D20:G20"/>
    <mergeCell ref="A64:G64"/>
    <mergeCell ref="A65:G65"/>
    <mergeCell ref="A27:E27"/>
    <mergeCell ref="A30:G30"/>
    <mergeCell ref="A31:C31"/>
    <mergeCell ref="D31:G31"/>
    <mergeCell ref="A28:G29"/>
    <mergeCell ref="B59:C59"/>
    <mergeCell ref="B60:C60"/>
    <mergeCell ref="B61:C61"/>
    <mergeCell ref="A41:C41"/>
    <mergeCell ref="D41:G41"/>
    <mergeCell ref="A49:C49"/>
    <mergeCell ref="B1:G1"/>
    <mergeCell ref="B2:G2"/>
    <mergeCell ref="B3:G3"/>
    <mergeCell ref="B4:G4"/>
    <mergeCell ref="A6:G6"/>
    <mergeCell ref="A5:G5"/>
    <mergeCell ref="A7:G8"/>
    <mergeCell ref="A9:G9"/>
    <mergeCell ref="A10:C10"/>
    <mergeCell ref="D10:G10"/>
    <mergeCell ref="A15:E15"/>
    <mergeCell ref="A14:E14"/>
    <mergeCell ref="F15:G15"/>
    <mergeCell ref="A154:E154"/>
    <mergeCell ref="A40:G40"/>
    <mergeCell ref="B42:C42"/>
    <mergeCell ref="B43:C43"/>
    <mergeCell ref="B44:C44"/>
    <mergeCell ref="B45:C45"/>
    <mergeCell ref="A48:G48"/>
    <mergeCell ref="B50:C50"/>
    <mergeCell ref="B51:C51"/>
    <mergeCell ref="B52:C52"/>
    <mergeCell ref="B53:C53"/>
    <mergeCell ref="A56:G56"/>
    <mergeCell ref="B58:C58"/>
    <mergeCell ref="A75:G75"/>
    <mergeCell ref="A109:E109"/>
    <mergeCell ref="B112:C112"/>
    <mergeCell ref="D49:G49"/>
    <mergeCell ref="A57:C57"/>
    <mergeCell ref="D57:G57"/>
    <mergeCell ref="A142:G142"/>
    <mergeCell ref="A143:C143"/>
    <mergeCell ref="D143:G143"/>
    <mergeCell ref="A66:C66"/>
    <mergeCell ref="D66:G66"/>
    <mergeCell ref="A73:E73"/>
    <mergeCell ref="A111:G111"/>
    <mergeCell ref="A76:C76"/>
    <mergeCell ref="D76:G76"/>
    <mergeCell ref="A101:E101"/>
    <mergeCell ref="A103:G103"/>
    <mergeCell ref="A104:C104"/>
    <mergeCell ref="D104:G104"/>
  </mergeCells>
  <phoneticPr fontId="15" type="noConversion"/>
  <conditionalFormatting sqref="A78:E100">
    <cfRule type="expression" dxfId="27" priority="91" stopIfTrue="1">
      <formula>AND($A78&lt;&gt;"COMPOSICAO",$A78&lt;&gt;"INSUMO",$A78&lt;&gt;"")</formula>
    </cfRule>
    <cfRule type="expression" dxfId="26" priority="92" stopIfTrue="1">
      <formula>AND(OR($A78="COMPOSICAO",$A78="INSUMO",$A78&lt;&gt;""),$A78&lt;&gt;"")</formula>
    </cfRule>
  </conditionalFormatting>
  <conditionalFormatting sqref="A12:F13 A18:E18 A145:E153">
    <cfRule type="expression" dxfId="25" priority="553" stopIfTrue="1">
      <formula>AND($A12&lt;&gt;"COMPOSICAO",$A12&lt;&gt;"INSUMO",$A12&lt;&gt;"")</formula>
    </cfRule>
    <cfRule type="expression" dxfId="24" priority="554" stopIfTrue="1">
      <formula>AND(OR($A12="COMPOSICAO",$A12="INSUMO",$A12&lt;&gt;""),$A12&lt;&gt;"")</formula>
    </cfRule>
  </conditionalFormatting>
  <conditionalFormatting sqref="A22:F26">
    <cfRule type="expression" dxfId="23" priority="139" stopIfTrue="1">
      <formula>AND($A22&lt;&gt;"COMPOSICAO",$A22&lt;&gt;"INSUMO",$A22&lt;&gt;"")</formula>
    </cfRule>
    <cfRule type="expression" dxfId="22" priority="140" stopIfTrue="1">
      <formula>AND(OR($A22="COMPOSICAO",$A22="INSUMO",$A22&lt;&gt;""),$A22&lt;&gt;"")</formula>
    </cfRule>
  </conditionalFormatting>
  <conditionalFormatting sqref="A33:F37">
    <cfRule type="expression" dxfId="21" priority="1" stopIfTrue="1">
      <formula>AND($A33&lt;&gt;"COMPOSICAO",$A33&lt;&gt;"INSUMO",$A33&lt;&gt;"")</formula>
    </cfRule>
    <cfRule type="expression" dxfId="20" priority="2" stopIfTrue="1">
      <formula>AND(OR($A33="COMPOSICAO",$A33="INSUMO",$A33&lt;&gt;""),$A33&lt;&gt;"")</formula>
    </cfRule>
  </conditionalFormatting>
  <conditionalFormatting sqref="A68:F72">
    <cfRule type="expression" dxfId="19" priority="109" stopIfTrue="1">
      <formula>AND($A68&lt;&gt;"COMPOSICAO",$A68&lt;&gt;"INSUMO",$A68&lt;&gt;"")</formula>
    </cfRule>
    <cfRule type="expression" dxfId="18" priority="110" stopIfTrue="1">
      <formula>AND(OR($A68="COMPOSICAO",$A68="INSUMO",$A68&lt;&gt;""),$A68&lt;&gt;"")</formula>
    </cfRule>
  </conditionalFormatting>
  <conditionalFormatting sqref="A106:F108">
    <cfRule type="expression" dxfId="17" priority="63" stopIfTrue="1">
      <formula>AND($A106&lt;&gt;"COMPOSICAO",$A106&lt;&gt;"INSUMO",$A106&lt;&gt;"")</formula>
    </cfRule>
    <cfRule type="expression" dxfId="16" priority="64" stopIfTrue="1">
      <formula>AND(OR($A106="COMPOSICAO",$A106="INSUMO",$A106&lt;&gt;""),$A106&lt;&gt;"")</formula>
    </cfRule>
  </conditionalFormatting>
  <conditionalFormatting sqref="A122:F125">
    <cfRule type="expression" dxfId="15" priority="25" stopIfTrue="1">
      <formula>AND($A122&lt;&gt;"COMPOSICAO",$A122&lt;&gt;"INSUMO",$A122&lt;&gt;"")</formula>
    </cfRule>
    <cfRule type="expression" dxfId="14" priority="26" stopIfTrue="1">
      <formula>AND(OR($A122="COMPOSICAO",$A122="INSUMO",$A122&lt;&gt;""),$A122&lt;&gt;"")</formula>
    </cfRule>
  </conditionalFormatting>
  <conditionalFormatting sqref="F78:G100">
    <cfRule type="expression" dxfId="13" priority="83" stopIfTrue="1">
      <formula>AND(#REF!&lt;&gt;"COMPOSICAO",#REF!&lt;&gt;"INSUMO",#REF!&lt;&gt;"")</formula>
    </cfRule>
    <cfRule type="expression" dxfId="12" priority="84" stopIfTrue="1">
      <formula>AND(OR(#REF!="COMPOSICAO",#REF!="INSUMO",#REF!&lt;&gt;""),#REF!&lt;&gt;"")</formula>
    </cfRule>
  </conditionalFormatting>
  <conditionalFormatting sqref="G12:G13 F145:G153">
    <cfRule type="expression" dxfId="11" priority="491" stopIfTrue="1">
      <formula>AND(#REF!&lt;&gt;"COMPOSICAO",#REF!&lt;&gt;"INSUMO",#REF!&lt;&gt;"")</formula>
    </cfRule>
    <cfRule type="expression" dxfId="10" priority="492" stopIfTrue="1">
      <formula>AND(OR(#REF!="COMPOSICAO",#REF!="INSUMO",#REF!&lt;&gt;""),#REF!&lt;&gt;"")</formula>
    </cfRule>
  </conditionalFormatting>
  <conditionalFormatting sqref="G22:G26">
    <cfRule type="expression" dxfId="9" priority="89" stopIfTrue="1">
      <formula>AND(#REF!&lt;&gt;"COMPOSICAO",#REF!&lt;&gt;"INSUMO",#REF!&lt;&gt;"")</formula>
    </cfRule>
    <cfRule type="expression" dxfId="8" priority="90" stopIfTrue="1">
      <formula>AND(OR(#REF!="COMPOSICAO",#REF!="INSUMO",#REF!&lt;&gt;""),#REF!&lt;&gt;"")</formula>
    </cfRule>
  </conditionalFormatting>
  <conditionalFormatting sqref="G33:G37">
    <cfRule type="expression" dxfId="7" priority="87" stopIfTrue="1">
      <formula>AND(#REF!&lt;&gt;"COMPOSICAO",#REF!&lt;&gt;"INSUMO",#REF!&lt;&gt;"")</formula>
    </cfRule>
    <cfRule type="expression" dxfId="6" priority="88" stopIfTrue="1">
      <formula>AND(OR(#REF!="COMPOSICAO",#REF!="INSUMO",#REF!&lt;&gt;""),#REF!&lt;&gt;"")</formula>
    </cfRule>
  </conditionalFormatting>
  <conditionalFormatting sqref="G68:G72">
    <cfRule type="expression" dxfId="5" priority="85" stopIfTrue="1">
      <formula>AND(#REF!&lt;&gt;"COMPOSICAO",#REF!&lt;&gt;"INSUMO",#REF!&lt;&gt;"")</formula>
    </cfRule>
    <cfRule type="expression" dxfId="4" priority="86" stopIfTrue="1">
      <formula>AND(OR(#REF!="COMPOSICAO",#REF!="INSUMO",#REF!&lt;&gt;""),#REF!&lt;&gt;"")</formula>
    </cfRule>
  </conditionalFormatting>
  <conditionalFormatting sqref="G106:G108">
    <cfRule type="expression" dxfId="3" priority="71" stopIfTrue="1">
      <formula>AND(#REF!&lt;&gt;"COMPOSICAO",#REF!&lt;&gt;"INSUMO",#REF!&lt;&gt;"")</formula>
    </cfRule>
    <cfRule type="expression" dxfId="2" priority="72" stopIfTrue="1">
      <formula>AND(OR(#REF!="COMPOSICAO",#REF!="INSUMO",#REF!&lt;&gt;""),#REF!&lt;&gt;"")</formula>
    </cfRule>
  </conditionalFormatting>
  <conditionalFormatting sqref="G122:G125">
    <cfRule type="expression" dxfId="1" priority="31" stopIfTrue="1">
      <formula>AND(#REF!&lt;&gt;"COMPOSICAO",#REF!&lt;&gt;"INSUMO",#REF!&lt;&gt;"")</formula>
    </cfRule>
    <cfRule type="expression" dxfId="0" priority="32" stopIfTrue="1">
      <formula>AND(OR(#REF!="COMPOSICAO",#REF!="INSUMO",#REF!&lt;&gt;""),#REF!&lt;&gt;"")</formula>
    </cfRule>
  </conditionalFormatting>
  <pageMargins left="0.511811024" right="0.511811024" top="0.89333333333333331" bottom="1.0729166666666667" header="0" footer="0"/>
  <pageSetup paperSize="9" scale="65" fitToHeight="0" orientation="portrait" r:id="rId1"/>
  <headerFooter>
    <oddHeader>&amp;C
&amp;G</oddHeader>
    <oddFooter>&amp;CRua Rui Barbosa, 310 - Centro - Araputanga-MT – Cel: (65) 99613-9294 E-mail: carolina.o.almeida@hotmail.com / escalaprojeta@gmail.com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012"/>
  <sheetViews>
    <sheetView view="pageLayout" zoomScaleNormal="100" workbookViewId="0">
      <selection activeCell="D36" sqref="D36:F37"/>
    </sheetView>
  </sheetViews>
  <sheetFormatPr defaultColWidth="12.6640625" defaultRowHeight="15" customHeight="1" x14ac:dyDescent="0.3"/>
  <cols>
    <col min="1" max="1" width="11.83203125" customWidth="1"/>
    <col min="2" max="2" width="16.75" customWidth="1"/>
    <col min="3" max="3" width="14.6640625" customWidth="1"/>
    <col min="4" max="4" width="12.5" customWidth="1"/>
    <col min="5" max="5" width="16.5" customWidth="1"/>
    <col min="6" max="7" width="15.83203125" customWidth="1"/>
    <col min="8" max="8" width="11.6640625" customWidth="1"/>
    <col min="9" max="9" width="15.5" customWidth="1"/>
    <col min="10" max="10" width="12.1640625" customWidth="1"/>
    <col min="11" max="11" width="11.83203125" customWidth="1"/>
    <col min="12" max="23" width="7.6640625" customWidth="1"/>
  </cols>
  <sheetData>
    <row r="1" spans="1:11" ht="14" x14ac:dyDescent="0.3">
      <c r="A1" s="56" t="s">
        <v>0</v>
      </c>
      <c r="B1" s="604" t="str">
        <f>PLANILHA!B1</f>
        <v>Construção de rede de drenagem pluvial</v>
      </c>
      <c r="C1" s="502"/>
      <c r="D1" s="502"/>
      <c r="E1" s="502"/>
      <c r="F1" s="502"/>
      <c r="G1" s="502"/>
      <c r="H1" s="502"/>
      <c r="I1" s="502"/>
      <c r="J1" s="502"/>
      <c r="K1" s="502"/>
    </row>
    <row r="2" spans="1:11" ht="14" x14ac:dyDescent="0.3">
      <c r="A2" s="56" t="s">
        <v>1</v>
      </c>
      <c r="B2" s="604" t="str">
        <f>PLANILHA!B2</f>
        <v>Prefeitura Municipal de Indiavaí</v>
      </c>
      <c r="C2" s="502"/>
      <c r="D2" s="502"/>
      <c r="E2" s="502"/>
      <c r="F2" s="502"/>
      <c r="G2" s="502"/>
      <c r="H2" s="502"/>
      <c r="I2" s="502"/>
      <c r="J2" s="502"/>
      <c r="K2" s="502"/>
    </row>
    <row r="3" spans="1:11" ht="14" x14ac:dyDescent="0.3">
      <c r="A3" s="56" t="s">
        <v>2</v>
      </c>
      <c r="B3" s="604" t="str">
        <f>PLANILHA!B3</f>
        <v>Avenida Governador Jayme Campos</v>
      </c>
      <c r="C3" s="502"/>
      <c r="D3" s="502"/>
      <c r="E3" s="502"/>
      <c r="F3" s="502"/>
      <c r="G3" s="502"/>
      <c r="H3" s="502"/>
      <c r="I3" s="502"/>
      <c r="J3" s="502"/>
      <c r="K3" s="502"/>
    </row>
    <row r="4" spans="1:11" ht="14.5" thickBot="1" x14ac:dyDescent="0.35">
      <c r="A4" s="57" t="s">
        <v>3</v>
      </c>
      <c r="B4" s="605" t="str">
        <f>DESCRIÇÃO!B4</f>
        <v>30 de julho de 2021</v>
      </c>
      <c r="C4" s="606"/>
      <c r="D4" s="606"/>
      <c r="E4" s="606"/>
      <c r="F4" s="606"/>
      <c r="G4" s="606"/>
      <c r="H4" s="606"/>
      <c r="I4" s="606"/>
      <c r="J4" s="606"/>
      <c r="K4" s="606"/>
    </row>
    <row r="5" spans="1:11" ht="14.5" thickBot="1" x14ac:dyDescent="0.35">
      <c r="A5" s="607" t="s">
        <v>171</v>
      </c>
      <c r="B5" s="608"/>
      <c r="C5" s="608"/>
      <c r="D5" s="608"/>
      <c r="E5" s="608"/>
      <c r="F5" s="608"/>
      <c r="G5" s="608"/>
      <c r="H5" s="608"/>
      <c r="I5" s="608"/>
      <c r="J5" s="608"/>
      <c r="K5" s="609"/>
    </row>
    <row r="6" spans="1:11" ht="15" customHeight="1" x14ac:dyDescent="0.3">
      <c r="A6" s="614" t="s">
        <v>149</v>
      </c>
      <c r="B6" s="612" t="s">
        <v>151</v>
      </c>
      <c r="C6" s="612" t="s">
        <v>153</v>
      </c>
      <c r="D6" s="610" t="s">
        <v>152</v>
      </c>
      <c r="E6" s="610" t="s">
        <v>155</v>
      </c>
      <c r="F6" s="610" t="s">
        <v>172</v>
      </c>
      <c r="G6" s="610" t="s">
        <v>161</v>
      </c>
      <c r="H6" s="610" t="s">
        <v>154</v>
      </c>
      <c r="I6" s="610" t="s">
        <v>157</v>
      </c>
      <c r="J6" s="610" t="s">
        <v>158</v>
      </c>
      <c r="K6" s="602" t="s">
        <v>159</v>
      </c>
    </row>
    <row r="7" spans="1:11" ht="14" x14ac:dyDescent="0.3">
      <c r="A7" s="615"/>
      <c r="B7" s="616"/>
      <c r="C7" s="613"/>
      <c r="D7" s="611"/>
      <c r="E7" s="611"/>
      <c r="F7" s="611"/>
      <c r="G7" s="611"/>
      <c r="H7" s="611"/>
      <c r="I7" s="611"/>
      <c r="J7" s="611"/>
      <c r="K7" s="603"/>
    </row>
    <row r="8" spans="1:11" ht="36.75" customHeight="1" x14ac:dyDescent="0.3">
      <c r="A8" s="615"/>
      <c r="B8" s="616"/>
      <c r="C8" s="613"/>
      <c r="D8" s="611"/>
      <c r="E8" s="611"/>
      <c r="F8" s="611"/>
      <c r="G8" s="611"/>
      <c r="H8" s="611"/>
      <c r="I8" s="611"/>
      <c r="J8" s="611"/>
      <c r="K8" s="603"/>
    </row>
    <row r="9" spans="1:11" ht="14" x14ac:dyDescent="0.3">
      <c r="A9" s="104" t="s">
        <v>150</v>
      </c>
      <c r="B9" s="102">
        <v>0.4</v>
      </c>
      <c r="C9" s="102">
        <v>16.32</v>
      </c>
      <c r="D9" s="102">
        <v>0.9</v>
      </c>
      <c r="E9" s="102">
        <v>1</v>
      </c>
      <c r="F9" s="102">
        <v>1.89</v>
      </c>
      <c r="G9" s="102">
        <v>0.06</v>
      </c>
      <c r="H9" s="102">
        <f t="shared" ref="H9:H32" si="0">0.1</f>
        <v>0.1</v>
      </c>
      <c r="I9" s="102">
        <f>(C9*D9)*H9</f>
        <v>1.4688000000000001</v>
      </c>
      <c r="J9" s="102">
        <f>(C9*D9)*(E9+((C9*F9/100)/2))</f>
        <v>16.953242111999998</v>
      </c>
      <c r="K9" s="105">
        <f>(C9*D9)*(E9+(C9*((F9/100)/2)))-(((PI()*(((B9+(G9*2))/2)^2))*C9)+(H9*C9*D9))</f>
        <v>12.018536565594822</v>
      </c>
    </row>
    <row r="10" spans="1:11" ht="14" x14ac:dyDescent="0.3">
      <c r="A10" s="104" t="s">
        <v>162</v>
      </c>
      <c r="B10" s="102">
        <v>0.4</v>
      </c>
      <c r="C10" s="102">
        <v>15.47</v>
      </c>
      <c r="D10" s="102">
        <v>0.9</v>
      </c>
      <c r="E10" s="102">
        <v>1</v>
      </c>
      <c r="F10" s="102">
        <v>7.16</v>
      </c>
      <c r="G10" s="102">
        <v>0.06</v>
      </c>
      <c r="H10" s="102">
        <f t="shared" si="0"/>
        <v>0.1</v>
      </c>
      <c r="I10" s="102">
        <f>(C10*D10)*H10</f>
        <v>1.3923000000000001</v>
      </c>
      <c r="J10" s="102">
        <f>(C10*D10)*(E10+((C10*F10/100)/2))</f>
        <v>21.633919398</v>
      </c>
      <c r="K10" s="105">
        <f>(C10*D10)*(E10+(C10*((F10/100)/2)))-(((PI()*(((B10+(G10*2))/2)^2))*C10)+(H10*C10*D10))</f>
        <v>16.956229765470095</v>
      </c>
    </row>
    <row r="11" spans="1:11" ht="14" x14ac:dyDescent="0.3">
      <c r="A11" s="104" t="s">
        <v>163</v>
      </c>
      <c r="B11" s="102">
        <v>0.4</v>
      </c>
      <c r="C11" s="102">
        <v>14.12</v>
      </c>
      <c r="D11" s="102">
        <v>0.9</v>
      </c>
      <c r="E11" s="102">
        <v>1</v>
      </c>
      <c r="F11" s="102">
        <v>2.37</v>
      </c>
      <c r="G11" s="102">
        <v>0.08</v>
      </c>
      <c r="H11" s="102">
        <f t="shared" si="0"/>
        <v>0.1</v>
      </c>
      <c r="I11" s="102">
        <f t="shared" ref="I11:I17" si="1">(C11*D11)*H11</f>
        <v>1.2708000000000002</v>
      </c>
      <c r="J11" s="102">
        <f t="shared" ref="J11:J17" si="2">(C11*D11)*((E11+F11)/2)</f>
        <v>21.412980000000001</v>
      </c>
      <c r="K11" s="105">
        <f>(C11*D11)*((E11+F11)/2)-(((PI()*(((B11+(G11*2))/2)^2))*C11)+(H11*C11*D11))</f>
        <v>16.664411799734872</v>
      </c>
    </row>
    <row r="12" spans="1:11" ht="14" x14ac:dyDescent="0.3">
      <c r="A12" s="104" t="s">
        <v>164</v>
      </c>
      <c r="B12" s="102">
        <v>0.4</v>
      </c>
      <c r="C12" s="102">
        <v>15.98</v>
      </c>
      <c r="D12" s="102">
        <v>0.9</v>
      </c>
      <c r="E12" s="102">
        <v>1</v>
      </c>
      <c r="F12" s="102">
        <v>0.59</v>
      </c>
      <c r="G12" s="102">
        <v>0.08</v>
      </c>
      <c r="H12" s="102">
        <f t="shared" si="0"/>
        <v>0.1</v>
      </c>
      <c r="I12" s="102">
        <f t="shared" si="1"/>
        <v>1.4382000000000001</v>
      </c>
      <c r="J12" s="102">
        <f t="shared" si="2"/>
        <v>11.43369</v>
      </c>
      <c r="K12" s="105">
        <f t="shared" ref="K12:K17" si="3">(C12*D12)*((E12+F12)/2)-(((PI()*(((B12+(G12*2))/2)^2))*C12)+(H12*C12*D12))</f>
        <v>6.0596021926177919</v>
      </c>
    </row>
    <row r="13" spans="1:11" ht="14" x14ac:dyDescent="0.3">
      <c r="A13" s="104" t="s">
        <v>165</v>
      </c>
      <c r="B13" s="102">
        <v>0.4</v>
      </c>
      <c r="C13" s="102">
        <v>16.11</v>
      </c>
      <c r="D13" s="102">
        <v>0.9</v>
      </c>
      <c r="E13" s="102">
        <v>1</v>
      </c>
      <c r="F13" s="102">
        <v>0.97</v>
      </c>
      <c r="G13" s="102">
        <v>0.08</v>
      </c>
      <c r="H13" s="102">
        <f t="shared" si="0"/>
        <v>0.1</v>
      </c>
      <c r="I13" s="102">
        <f t="shared" si="1"/>
        <v>1.4499000000000002</v>
      </c>
      <c r="J13" s="102">
        <f t="shared" si="2"/>
        <v>14.281515000000001</v>
      </c>
      <c r="K13" s="105">
        <f t="shared" si="3"/>
        <v>8.8637080802924046</v>
      </c>
    </row>
    <row r="14" spans="1:11" ht="14" x14ac:dyDescent="0.3">
      <c r="A14" s="104" t="s">
        <v>166</v>
      </c>
      <c r="B14" s="102">
        <v>0.4</v>
      </c>
      <c r="C14" s="102">
        <v>14.71</v>
      </c>
      <c r="D14" s="102">
        <v>0.9</v>
      </c>
      <c r="E14" s="102">
        <v>1</v>
      </c>
      <c r="F14" s="102">
        <v>1.1100000000000001</v>
      </c>
      <c r="G14" s="102">
        <v>0.08</v>
      </c>
      <c r="H14" s="102">
        <f t="shared" si="0"/>
        <v>0.1</v>
      </c>
      <c r="I14" s="102">
        <f t="shared" si="1"/>
        <v>1.3239000000000001</v>
      </c>
      <c r="J14" s="102">
        <f t="shared" si="2"/>
        <v>13.967145000000002</v>
      </c>
      <c r="K14" s="105">
        <f t="shared" si="3"/>
        <v>9.0201592899504224</v>
      </c>
    </row>
    <row r="15" spans="1:11" ht="14" x14ac:dyDescent="0.3">
      <c r="A15" s="104" t="s">
        <v>167</v>
      </c>
      <c r="B15" s="102">
        <v>0.4</v>
      </c>
      <c r="C15" s="102">
        <v>15.23</v>
      </c>
      <c r="D15" s="102">
        <v>0.9</v>
      </c>
      <c r="E15" s="102">
        <v>1</v>
      </c>
      <c r="F15" s="102">
        <v>0.46</v>
      </c>
      <c r="G15" s="102">
        <v>0.08</v>
      </c>
      <c r="H15" s="102">
        <f t="shared" si="0"/>
        <v>0.1</v>
      </c>
      <c r="I15" s="102">
        <f t="shared" si="1"/>
        <v>1.3707000000000003</v>
      </c>
      <c r="J15" s="102">
        <f t="shared" si="2"/>
        <v>10.00611</v>
      </c>
      <c r="K15" s="105">
        <f t="shared" si="3"/>
        <v>4.8842478406488716</v>
      </c>
    </row>
    <row r="16" spans="1:11" ht="14" x14ac:dyDescent="0.3">
      <c r="A16" s="104" t="s">
        <v>168</v>
      </c>
      <c r="B16" s="102">
        <v>0.4</v>
      </c>
      <c r="C16" s="102">
        <v>13.53</v>
      </c>
      <c r="D16" s="102">
        <v>0.9</v>
      </c>
      <c r="E16" s="102">
        <v>1</v>
      </c>
      <c r="F16" s="102">
        <v>0.42</v>
      </c>
      <c r="G16" s="102">
        <v>0.08</v>
      </c>
      <c r="H16" s="102">
        <f t="shared" si="0"/>
        <v>0.1</v>
      </c>
      <c r="I16" s="102">
        <f t="shared" si="1"/>
        <v>1.2177</v>
      </c>
      <c r="J16" s="102">
        <f t="shared" si="2"/>
        <v>8.6456699999999991</v>
      </c>
      <c r="K16" s="105">
        <f t="shared" si="3"/>
        <v>4.095519309519319</v>
      </c>
    </row>
    <row r="17" spans="1:11" ht="14" x14ac:dyDescent="0.3">
      <c r="A17" s="104" t="s">
        <v>169</v>
      </c>
      <c r="B17" s="102">
        <v>0.4</v>
      </c>
      <c r="C17" s="102">
        <v>12.98</v>
      </c>
      <c r="D17" s="102">
        <v>0.9</v>
      </c>
      <c r="E17" s="102">
        <v>1</v>
      </c>
      <c r="F17" s="102">
        <v>0.41</v>
      </c>
      <c r="G17" s="102">
        <v>0.08</v>
      </c>
      <c r="H17" s="102">
        <f t="shared" si="0"/>
        <v>0.1</v>
      </c>
      <c r="I17" s="102">
        <f t="shared" si="1"/>
        <v>1.1682000000000001</v>
      </c>
      <c r="J17" s="102">
        <f t="shared" si="2"/>
        <v>8.235809999999999</v>
      </c>
      <c r="K17" s="105">
        <f t="shared" si="3"/>
        <v>3.8706247847421107</v>
      </c>
    </row>
    <row r="18" spans="1:11" ht="14" x14ac:dyDescent="0.3">
      <c r="A18" s="104" t="s">
        <v>216</v>
      </c>
      <c r="B18" s="102">
        <v>0.4</v>
      </c>
      <c r="C18" s="102">
        <v>11.51</v>
      </c>
      <c r="D18" s="102">
        <v>0.9</v>
      </c>
      <c r="E18" s="102">
        <v>1</v>
      </c>
      <c r="F18" s="102">
        <v>1.57</v>
      </c>
      <c r="G18" s="102">
        <v>0.06</v>
      </c>
      <c r="H18" s="102">
        <f t="shared" si="0"/>
        <v>0.1</v>
      </c>
      <c r="I18" s="102">
        <f>(C18*D18)*H18</f>
        <v>1.0359</v>
      </c>
      <c r="J18" s="102">
        <f>(C18*D18)*(E18+((C18*F18/100)/2))</f>
        <v>11.294971906499999</v>
      </c>
      <c r="K18" s="105">
        <f>(C18*D18)*(E18+(C18*((F18/100)/2)))-(((PI()*(((B18+(G18*2))/2)^2))*C18)+(H18*C18*D18))</f>
        <v>7.8146740609654666</v>
      </c>
    </row>
    <row r="19" spans="1:11" ht="14" x14ac:dyDescent="0.3">
      <c r="A19" s="104" t="s">
        <v>220</v>
      </c>
      <c r="B19" s="102">
        <v>0.4</v>
      </c>
      <c r="C19" s="102">
        <v>14.25</v>
      </c>
      <c r="D19" s="102">
        <v>0.9</v>
      </c>
      <c r="E19" s="102">
        <v>1</v>
      </c>
      <c r="F19" s="102">
        <v>0.84</v>
      </c>
      <c r="G19" s="102">
        <v>0.06</v>
      </c>
      <c r="H19" s="102">
        <f t="shared" si="0"/>
        <v>0.1</v>
      </c>
      <c r="I19" s="102">
        <f>(C19*D19)*H19</f>
        <v>1.2825000000000002</v>
      </c>
      <c r="J19" s="102">
        <f>(C19*D19)*(E19+((C19*F19/100)/2))</f>
        <v>13.59257625</v>
      </c>
      <c r="K19" s="105">
        <f>(C19*D19)*(E19+(C19*((F19/100)/2)))-(((PI()*(((B19+(G19*2))/2)^2))*C19)+(H19*C19*D19))</f>
        <v>9.2837800467969522</v>
      </c>
    </row>
    <row r="20" spans="1:11" ht="14" x14ac:dyDescent="0.3">
      <c r="A20" s="104" t="s">
        <v>221</v>
      </c>
      <c r="B20" s="102">
        <v>0.4</v>
      </c>
      <c r="C20" s="102">
        <v>12.93</v>
      </c>
      <c r="D20" s="102">
        <v>0.9</v>
      </c>
      <c r="E20" s="102">
        <v>1</v>
      </c>
      <c r="F20" s="102">
        <v>0.5</v>
      </c>
      <c r="G20" s="102">
        <v>0.08</v>
      </c>
      <c r="H20" s="102">
        <f t="shared" si="0"/>
        <v>0.1</v>
      </c>
      <c r="I20" s="102">
        <f t="shared" ref="I20:I26" si="4">(C20*D20)*H20</f>
        <v>1.1637000000000002</v>
      </c>
      <c r="J20" s="102">
        <f t="shared" ref="J20:J26" si="5">(C20*D20)*((E20+F20)/2)</f>
        <v>8.7277500000000003</v>
      </c>
      <c r="K20" s="105">
        <f t="shared" ref="K20:K26" si="6">(C20*D20)*((E20+F20)/2)-(((PI()*(((B20+(G20*2))/2)^2))*C20)+(H20*C20*D20))</f>
        <v>4.3793798279441836</v>
      </c>
    </row>
    <row r="21" spans="1:11" ht="14" x14ac:dyDescent="0.3">
      <c r="A21" s="104" t="s">
        <v>222</v>
      </c>
      <c r="B21" s="102">
        <v>0.4</v>
      </c>
      <c r="C21" s="102">
        <v>18.260000000000002</v>
      </c>
      <c r="D21" s="102">
        <v>0.9</v>
      </c>
      <c r="E21" s="102">
        <v>1</v>
      </c>
      <c r="F21" s="102">
        <v>1.1299999999999999</v>
      </c>
      <c r="G21" s="102">
        <v>0.08</v>
      </c>
      <c r="H21" s="102">
        <f t="shared" si="0"/>
        <v>0.1</v>
      </c>
      <c r="I21" s="102">
        <f t="shared" si="4"/>
        <v>1.6434000000000002</v>
      </c>
      <c r="J21" s="102">
        <f t="shared" si="5"/>
        <v>17.502210000000002</v>
      </c>
      <c r="K21" s="105">
        <f t="shared" si="6"/>
        <v>11.361356222603311</v>
      </c>
    </row>
    <row r="22" spans="1:11" ht="14" x14ac:dyDescent="0.3">
      <c r="A22" s="104" t="s">
        <v>223</v>
      </c>
      <c r="B22" s="102">
        <v>0.4</v>
      </c>
      <c r="C22" s="102">
        <v>11.56</v>
      </c>
      <c r="D22" s="102">
        <v>0.9</v>
      </c>
      <c r="E22" s="102">
        <v>1</v>
      </c>
      <c r="F22" s="102">
        <v>2.4</v>
      </c>
      <c r="G22" s="102">
        <v>0.08</v>
      </c>
      <c r="H22" s="102">
        <f t="shared" si="0"/>
        <v>0.1</v>
      </c>
      <c r="I22" s="102">
        <f t="shared" si="4"/>
        <v>1.0404</v>
      </c>
      <c r="J22" s="102">
        <f t="shared" si="5"/>
        <v>17.686799999999998</v>
      </c>
      <c r="K22" s="105">
        <f t="shared" si="6"/>
        <v>13.799162011680954</v>
      </c>
    </row>
    <row r="23" spans="1:11" ht="14" x14ac:dyDescent="0.3">
      <c r="A23" s="104" t="s">
        <v>224</v>
      </c>
      <c r="B23" s="102">
        <v>0.4</v>
      </c>
      <c r="C23" s="102">
        <v>14.29</v>
      </c>
      <c r="D23" s="102">
        <v>0.9</v>
      </c>
      <c r="E23" s="102">
        <v>1</v>
      </c>
      <c r="F23" s="102">
        <v>1.44</v>
      </c>
      <c r="G23" s="102">
        <v>0.08</v>
      </c>
      <c r="H23" s="102">
        <f t="shared" si="0"/>
        <v>0.1</v>
      </c>
      <c r="I23" s="102">
        <f t="shared" si="4"/>
        <v>1.2861</v>
      </c>
      <c r="J23" s="102">
        <f t="shared" si="5"/>
        <v>15.690419999999998</v>
      </c>
      <c r="K23" s="105">
        <f t="shared" si="6"/>
        <v>10.884680652847823</v>
      </c>
    </row>
    <row r="24" spans="1:11" ht="14" x14ac:dyDescent="0.3">
      <c r="A24" s="104" t="s">
        <v>225</v>
      </c>
      <c r="B24" s="102">
        <v>0.4</v>
      </c>
      <c r="C24" s="102">
        <v>11.6</v>
      </c>
      <c r="D24" s="102">
        <v>0.9</v>
      </c>
      <c r="E24" s="102">
        <v>1</v>
      </c>
      <c r="F24" s="102">
        <v>0.5</v>
      </c>
      <c r="G24" s="102">
        <v>0.08</v>
      </c>
      <c r="H24" s="102">
        <f t="shared" si="0"/>
        <v>0.1</v>
      </c>
      <c r="I24" s="102">
        <f t="shared" si="4"/>
        <v>1.044</v>
      </c>
      <c r="J24" s="102">
        <f t="shared" si="5"/>
        <v>7.83</v>
      </c>
      <c r="K24" s="105">
        <f t="shared" si="6"/>
        <v>3.9289099771192983</v>
      </c>
    </row>
    <row r="25" spans="1:11" ht="14" x14ac:dyDescent="0.3">
      <c r="A25" s="104" t="s">
        <v>226</v>
      </c>
      <c r="B25" s="102">
        <v>0.4</v>
      </c>
      <c r="C25" s="102">
        <v>15.74</v>
      </c>
      <c r="D25" s="102">
        <v>0.9</v>
      </c>
      <c r="E25" s="102">
        <v>1</v>
      </c>
      <c r="F25" s="102">
        <v>1.68</v>
      </c>
      <c r="G25" s="102">
        <v>0.08</v>
      </c>
      <c r="H25" s="102">
        <f t="shared" si="0"/>
        <v>0.1</v>
      </c>
      <c r="I25" s="102">
        <f t="shared" si="4"/>
        <v>1.4166000000000001</v>
      </c>
      <c r="J25" s="102">
        <f t="shared" si="5"/>
        <v>18.982439999999997</v>
      </c>
      <c r="K25" s="105">
        <f t="shared" si="6"/>
        <v>13.689064399987735</v>
      </c>
    </row>
    <row r="26" spans="1:11" ht="14" x14ac:dyDescent="0.3">
      <c r="A26" s="104" t="s">
        <v>227</v>
      </c>
      <c r="B26" s="102">
        <v>0.4</v>
      </c>
      <c r="C26" s="102">
        <v>13.1</v>
      </c>
      <c r="D26" s="102">
        <v>0.9</v>
      </c>
      <c r="E26" s="102">
        <v>1</v>
      </c>
      <c r="F26" s="102">
        <v>1.74</v>
      </c>
      <c r="G26" s="102">
        <v>0.08</v>
      </c>
      <c r="H26" s="102">
        <f t="shared" si="0"/>
        <v>0.1</v>
      </c>
      <c r="I26" s="102">
        <f t="shared" si="4"/>
        <v>1.179</v>
      </c>
      <c r="J26" s="102">
        <f t="shared" si="5"/>
        <v>16.1523</v>
      </c>
      <c r="K26" s="105">
        <f t="shared" si="6"/>
        <v>11.746758681057138</v>
      </c>
    </row>
    <row r="27" spans="1:11" ht="14" x14ac:dyDescent="0.3">
      <c r="A27" s="104" t="s">
        <v>228</v>
      </c>
      <c r="B27" s="102">
        <v>0.4</v>
      </c>
      <c r="C27" s="102">
        <v>15.16</v>
      </c>
      <c r="D27" s="102">
        <v>0.9</v>
      </c>
      <c r="E27" s="102">
        <v>1</v>
      </c>
      <c r="F27" s="102">
        <v>0.97</v>
      </c>
      <c r="G27" s="102">
        <v>0.08</v>
      </c>
      <c r="H27" s="102">
        <f t="shared" si="0"/>
        <v>0.1</v>
      </c>
      <c r="I27" s="102">
        <f t="shared" ref="I27:I32" si="7">(C27*D27)*H27</f>
        <v>1.3644000000000001</v>
      </c>
      <c r="J27" s="102">
        <f t="shared" ref="J27:J32" si="8">(C27*D27)*((E27+F27)/2)</f>
        <v>13.43934</v>
      </c>
      <c r="K27" s="105">
        <f t="shared" ref="K27:K32" si="9">(C27*D27)*((E27+F27)/2)-(((PI()*(((B27+(G27*2))/2)^2))*C27)+(H27*C27*D27))</f>
        <v>8.3410189011317719</v>
      </c>
    </row>
    <row r="28" spans="1:11" ht="14" x14ac:dyDescent="0.3">
      <c r="A28" s="104" t="s">
        <v>229</v>
      </c>
      <c r="B28" s="102">
        <v>0.4</v>
      </c>
      <c r="C28" s="102">
        <v>13.69</v>
      </c>
      <c r="D28" s="102">
        <v>0.9</v>
      </c>
      <c r="E28" s="102">
        <v>1</v>
      </c>
      <c r="F28" s="102">
        <v>2.98</v>
      </c>
      <c r="G28" s="102">
        <v>0.08</v>
      </c>
      <c r="H28" s="102">
        <f t="shared" si="0"/>
        <v>0.1</v>
      </c>
      <c r="I28" s="102">
        <f t="shared" si="7"/>
        <v>1.2321</v>
      </c>
      <c r="J28" s="102">
        <f t="shared" si="8"/>
        <v>24.518789999999999</v>
      </c>
      <c r="K28" s="105">
        <f t="shared" si="9"/>
        <v>19.914831171272688</v>
      </c>
    </row>
    <row r="29" spans="1:11" ht="14" x14ac:dyDescent="0.3">
      <c r="A29" s="104" t="s">
        <v>230</v>
      </c>
      <c r="B29" s="102">
        <v>0.4</v>
      </c>
      <c r="C29" s="102">
        <v>14.17</v>
      </c>
      <c r="D29" s="102">
        <v>0.9</v>
      </c>
      <c r="E29" s="102">
        <v>1</v>
      </c>
      <c r="F29" s="102">
        <v>0.5</v>
      </c>
      <c r="G29" s="102">
        <v>0.08</v>
      </c>
      <c r="H29" s="102">
        <f t="shared" si="0"/>
        <v>0.1</v>
      </c>
      <c r="I29" s="102">
        <f t="shared" si="7"/>
        <v>1.2753000000000001</v>
      </c>
      <c r="J29" s="102">
        <f t="shared" si="8"/>
        <v>9.5647500000000001</v>
      </c>
      <c r="K29" s="105">
        <f t="shared" si="9"/>
        <v>4.7993667565327982</v>
      </c>
    </row>
    <row r="30" spans="1:11" ht="14" x14ac:dyDescent="0.3">
      <c r="A30" s="104" t="s">
        <v>231</v>
      </c>
      <c r="B30" s="102">
        <v>0.4</v>
      </c>
      <c r="C30" s="102">
        <v>13.5</v>
      </c>
      <c r="D30" s="102">
        <v>0.9</v>
      </c>
      <c r="E30" s="102">
        <v>1</v>
      </c>
      <c r="F30" s="102">
        <v>2.96</v>
      </c>
      <c r="G30" s="102">
        <v>0.08</v>
      </c>
      <c r="H30" s="102">
        <f t="shared" si="0"/>
        <v>0.1</v>
      </c>
      <c r="I30" s="102">
        <f t="shared" si="7"/>
        <v>1.2150000000000001</v>
      </c>
      <c r="J30" s="102">
        <f t="shared" si="8"/>
        <v>24.057000000000002</v>
      </c>
      <c r="K30" s="105">
        <f t="shared" si="9"/>
        <v>19.516938335440564</v>
      </c>
    </row>
    <row r="31" spans="1:11" ht="14" x14ac:dyDescent="0.3">
      <c r="A31" s="104" t="s">
        <v>232</v>
      </c>
      <c r="B31" s="102">
        <v>0.4</v>
      </c>
      <c r="C31" s="102">
        <v>10.33</v>
      </c>
      <c r="D31" s="102">
        <v>0.9</v>
      </c>
      <c r="E31" s="102">
        <v>1</v>
      </c>
      <c r="F31" s="102">
        <v>3</v>
      </c>
      <c r="G31" s="102">
        <v>0.08</v>
      </c>
      <c r="H31" s="102">
        <f t="shared" si="0"/>
        <v>0.1</v>
      </c>
      <c r="I31" s="102">
        <f t="shared" si="7"/>
        <v>0.92970000000000008</v>
      </c>
      <c r="J31" s="102">
        <f t="shared" si="8"/>
        <v>18.594000000000001</v>
      </c>
      <c r="K31" s="105">
        <f t="shared" si="9"/>
        <v>15.120012074451928</v>
      </c>
    </row>
    <row r="32" spans="1:11" ht="14.5" thickBot="1" x14ac:dyDescent="0.35">
      <c r="A32" s="104" t="s">
        <v>233</v>
      </c>
      <c r="B32" s="102">
        <v>0.4</v>
      </c>
      <c r="C32" s="102">
        <v>9.2799999999999994</v>
      </c>
      <c r="D32" s="102">
        <v>0.9</v>
      </c>
      <c r="E32" s="102">
        <v>1</v>
      </c>
      <c r="F32" s="102">
        <v>2.83</v>
      </c>
      <c r="G32" s="102">
        <v>0.08</v>
      </c>
      <c r="H32" s="102">
        <f t="shared" si="0"/>
        <v>0.1</v>
      </c>
      <c r="I32" s="102">
        <f t="shared" si="7"/>
        <v>0.83520000000000005</v>
      </c>
      <c r="J32" s="102">
        <f t="shared" si="8"/>
        <v>15.99408</v>
      </c>
      <c r="K32" s="105">
        <f t="shared" si="9"/>
        <v>12.873207981695439</v>
      </c>
    </row>
    <row r="33" spans="1:11" ht="15.75" customHeight="1" thickBot="1" x14ac:dyDescent="0.35">
      <c r="A33" s="600" t="s">
        <v>170</v>
      </c>
      <c r="B33" s="381"/>
      <c r="C33" s="381"/>
      <c r="D33" s="381"/>
      <c r="E33" s="381"/>
      <c r="F33" s="381"/>
      <c r="G33" s="381"/>
      <c r="H33" s="601"/>
      <c r="I33" s="99">
        <f>SUM(I9:I32)</f>
        <v>30.043800000000005</v>
      </c>
      <c r="J33" s="99">
        <f>SUM(J9:J32)</f>
        <v>360.19750966650003</v>
      </c>
      <c r="K33" s="106">
        <f>SUM(K9:K32)</f>
        <v>249.88618073009874</v>
      </c>
    </row>
    <row r="34" spans="1:11" ht="15.75" customHeight="1" x14ac:dyDescent="0.3">
      <c r="A34" s="388" t="s">
        <v>137</v>
      </c>
      <c r="B34" s="413"/>
      <c r="C34" s="413"/>
      <c r="D34" s="388" t="s">
        <v>138</v>
      </c>
      <c r="E34" s="413"/>
      <c r="F34" s="389"/>
      <c r="G34" s="492" t="s">
        <v>142</v>
      </c>
      <c r="H34" s="493"/>
      <c r="I34" s="493"/>
      <c r="J34" s="493"/>
      <c r="K34" s="494"/>
    </row>
    <row r="35" spans="1:11" ht="15.75" customHeight="1" thickBot="1" x14ac:dyDescent="0.35">
      <c r="A35" s="390"/>
      <c r="B35" s="414"/>
      <c r="C35" s="414"/>
      <c r="D35" s="390"/>
      <c r="E35" s="414"/>
      <c r="F35" s="391"/>
      <c r="G35" s="495"/>
      <c r="H35" s="496"/>
      <c r="I35" s="496"/>
      <c r="J35" s="496"/>
      <c r="K35" s="497"/>
    </row>
    <row r="36" spans="1:11" ht="15.75" customHeight="1" x14ac:dyDescent="0.3">
      <c r="A36" s="462"/>
      <c r="B36" s="463"/>
      <c r="C36" s="463"/>
      <c r="D36" s="462"/>
      <c r="E36" s="463"/>
      <c r="F36" s="464"/>
      <c r="G36" s="498"/>
      <c r="H36" s="499"/>
      <c r="I36" s="499"/>
      <c r="J36" s="499"/>
      <c r="K36" s="500"/>
    </row>
    <row r="37" spans="1:11" ht="15.75" customHeight="1" x14ac:dyDescent="0.3">
      <c r="A37" s="356"/>
      <c r="B37" s="357"/>
      <c r="C37" s="357"/>
      <c r="D37" s="356"/>
      <c r="E37" s="357"/>
      <c r="F37" s="465"/>
      <c r="G37" s="501"/>
      <c r="H37" s="502"/>
      <c r="I37" s="502"/>
      <c r="J37" s="502"/>
      <c r="K37" s="503"/>
    </row>
    <row r="38" spans="1:11" ht="15.75" customHeight="1" x14ac:dyDescent="0.3">
      <c r="A38" s="418" t="s">
        <v>13</v>
      </c>
      <c r="B38" s="419"/>
      <c r="C38" s="419"/>
      <c r="D38" s="483" t="s">
        <v>140</v>
      </c>
      <c r="E38" s="484"/>
      <c r="F38" s="485"/>
      <c r="G38" s="486"/>
      <c r="H38" s="487"/>
      <c r="I38" s="487"/>
      <c r="J38" s="487"/>
      <c r="K38" s="488"/>
    </row>
    <row r="39" spans="1:11" ht="15.75" customHeight="1" thickBot="1" x14ac:dyDescent="0.35">
      <c r="A39" s="400" t="s">
        <v>14</v>
      </c>
      <c r="B39" s="401"/>
      <c r="C39" s="401"/>
      <c r="D39" s="390" t="s">
        <v>139</v>
      </c>
      <c r="E39" s="414"/>
      <c r="F39" s="391"/>
      <c r="G39" s="489"/>
      <c r="H39" s="490"/>
      <c r="I39" s="490"/>
      <c r="J39" s="490"/>
      <c r="K39" s="491"/>
    </row>
    <row r="40" spans="1:11" ht="15.75" customHeight="1" x14ac:dyDescent="0.3">
      <c r="E40" s="12"/>
    </row>
    <row r="41" spans="1:11" ht="15.75" customHeight="1" x14ac:dyDescent="0.3"/>
    <row r="42" spans="1:11" ht="15.75" customHeight="1" x14ac:dyDescent="0.3"/>
    <row r="43" spans="1:11" ht="15.75" customHeight="1" x14ac:dyDescent="0.3"/>
    <row r="44" spans="1:11" ht="15.75" customHeight="1" x14ac:dyDescent="0.3"/>
    <row r="45" spans="1:11" ht="15.75" customHeight="1" x14ac:dyDescent="0.3"/>
    <row r="46" spans="1:11" ht="15.75" customHeight="1" x14ac:dyDescent="0.3"/>
    <row r="47" spans="1:11" ht="15.75" customHeight="1" x14ac:dyDescent="0.3"/>
    <row r="48" spans="1:11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</sheetData>
  <mergeCells count="30">
    <mergeCell ref="K6:K8"/>
    <mergeCell ref="B1:K1"/>
    <mergeCell ref="B2:K2"/>
    <mergeCell ref="B3:K3"/>
    <mergeCell ref="B4:K4"/>
    <mergeCell ref="A5:K5"/>
    <mergeCell ref="G6:G8"/>
    <mergeCell ref="C6:C8"/>
    <mergeCell ref="D6:D8"/>
    <mergeCell ref="E6:E8"/>
    <mergeCell ref="F6:F8"/>
    <mergeCell ref="H6:H8"/>
    <mergeCell ref="I6:I8"/>
    <mergeCell ref="J6:J8"/>
    <mergeCell ref="A6:A8"/>
    <mergeCell ref="B6:B8"/>
    <mergeCell ref="A33:H33"/>
    <mergeCell ref="G37:K37"/>
    <mergeCell ref="A38:C38"/>
    <mergeCell ref="A39:C39"/>
    <mergeCell ref="A36:C37"/>
    <mergeCell ref="G38:K38"/>
    <mergeCell ref="A34:C35"/>
    <mergeCell ref="G39:K39"/>
    <mergeCell ref="G34:K35"/>
    <mergeCell ref="D34:F35"/>
    <mergeCell ref="D38:F38"/>
    <mergeCell ref="D39:F39"/>
    <mergeCell ref="D36:F37"/>
    <mergeCell ref="G36:K36"/>
  </mergeCells>
  <phoneticPr fontId="15" type="noConversion"/>
  <pageMargins left="0.511811024" right="0.511811024" top="1.0237499999999999" bottom="0.92531249999999998" header="0" footer="0"/>
  <pageSetup paperSize="9" scale="80" fitToHeight="0" orientation="landscape" r:id="rId1"/>
  <headerFooter>
    <oddFooter>&amp;CRua Rui Barbosa, 310 - Centro - Araputanga-MT – Cel: (65) 99613-9294 E-mail: carolina.o.almeida@hotmail.com / escalaprojeta@gmail.com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10</vt:i4>
      </vt:variant>
    </vt:vector>
  </HeadingPairs>
  <TitlesOfParts>
    <vt:vector size="29" baseType="lpstr">
      <vt:lpstr>DESCRIÇÃO</vt:lpstr>
      <vt:lpstr>DESCRIÇÃO DE ORÇAMENTO</vt:lpstr>
      <vt:lpstr>PLANILHA</vt:lpstr>
      <vt:lpstr>PLANILHA ORÇAMENTÁRIA</vt:lpstr>
      <vt:lpstr>COMPOSIÇÕES</vt:lpstr>
      <vt:lpstr>CRONOGRAMA</vt:lpstr>
      <vt:lpstr>MEM. CÁLCULO</vt:lpstr>
      <vt:lpstr>COMPOSIÇÕES E COTAÇÕES</vt:lpstr>
      <vt:lpstr>CAL VOL. REDE COL.</vt:lpstr>
      <vt:lpstr>CÁLCULO DE VOL E ESC REDE PRIN.</vt:lpstr>
      <vt:lpstr>CALC. DIMEN.</vt:lpstr>
      <vt:lpstr>CAL VERIFICAÇÕES</vt:lpstr>
      <vt:lpstr>CALC. VOL PV</vt:lpstr>
      <vt:lpstr>CALC. VOL BL</vt:lpstr>
      <vt:lpstr>CALC. TRANSPORTES</vt:lpstr>
      <vt:lpstr>CALC. TRANSPORTES (2)</vt:lpstr>
      <vt:lpstr>BDI</vt:lpstr>
      <vt:lpstr>CRONOGRAMA FF</vt:lpstr>
      <vt:lpstr>PLANILHA ORÇAMENTÁRIA (2)</vt:lpstr>
      <vt:lpstr>'CAL VERIFICAÇÕES'!Area_de_impressao</vt:lpstr>
      <vt:lpstr>'CALC. DIMEN.'!Area_de_impressao</vt:lpstr>
      <vt:lpstr>'COMPOSIÇÕES E COTAÇÕES'!Area_de_impressao</vt:lpstr>
      <vt:lpstr>'CRONOGRAMA FF'!Area_de_impressao</vt:lpstr>
      <vt:lpstr>'DESCRIÇÃO DE ORÇAMENTO'!Area_de_impressao</vt:lpstr>
      <vt:lpstr>'MEM. CÁLCULO'!Area_de_impressao</vt:lpstr>
      <vt:lpstr>'PLANILHA ORÇAMENTÁRIA'!Area_de_impressao</vt:lpstr>
      <vt:lpstr>'PLANILHA ORÇAMENTÁRIA (2)'!Area_de_impressao</vt:lpstr>
      <vt:lpstr>'PLANILHA ORÇAMENTÁRIA'!Titulos_de_impressao</vt:lpstr>
      <vt:lpstr>'PLANILHA ORÇAMENTÁRIA (2)'!Titulos_de_impressao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gustavo</dc:creator>
  <cp:lastModifiedBy>João Gustavo Faria dos Santos Junior</cp:lastModifiedBy>
  <cp:lastPrinted>2025-11-10T23:34:55Z</cp:lastPrinted>
  <dcterms:created xsi:type="dcterms:W3CDTF">2014-05-21T12:48:41Z</dcterms:created>
  <dcterms:modified xsi:type="dcterms:W3CDTF">2025-11-11T17:48:45Z</dcterms:modified>
</cp:coreProperties>
</file>