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-2023\Desktop\PREFEITURA 2026 - KARLA\CASINHAS PREFEITURA\Enviar SINFRA - Muros Calçadas\"/>
    </mc:Choice>
  </mc:AlternateContent>
  <bookViews>
    <workbookView xWindow="0" yWindow="0" windowWidth="15225" windowHeight="10020" firstSheet="1" activeTab="1"/>
  </bookViews>
  <sheets>
    <sheet name="DESCRIÇÃO" sheetId="1" state="hidden" r:id="rId1"/>
    <sheet name="DESCRIÇÃO DE ORÇAMENTO" sheetId="18" r:id="rId2"/>
    <sheet name="PLANILHA" sheetId="2" state="hidden" r:id="rId3"/>
    <sheet name="PLANILHA ORÇAMENTÁRIA" sheetId="15" r:id="rId4"/>
    <sheet name="COMPOSIÇÕES" sheetId="21" state="hidden" r:id="rId5"/>
    <sheet name="CRONOGRAMA" sheetId="5" state="hidden" r:id="rId6"/>
    <sheet name="MEM. CÁLCULO" sheetId="25" r:id="rId7"/>
    <sheet name="COMPOSIÇÕES E COTAÇÕES" sheetId="24" r:id="rId8"/>
    <sheet name="CAL VOL. REDE COL." sheetId="9" state="hidden" r:id="rId9"/>
    <sheet name="CÁLCULO DE VOL E ESC REDE PRIN." sheetId="10" state="hidden" r:id="rId10"/>
    <sheet name="CALC. DIMEN." sheetId="19" state="hidden" r:id="rId11"/>
    <sheet name="CAL VERIFICAÇÕES" sheetId="14" state="hidden" r:id="rId12"/>
    <sheet name="CALC. VOL PV" sheetId="11" state="hidden" r:id="rId13"/>
    <sheet name="CALC. VOL BL" sheetId="12" state="hidden" r:id="rId14"/>
    <sheet name="CALC. TRANSPORTES" sheetId="13" state="hidden" r:id="rId15"/>
    <sheet name="CALC. TRANSPORTES (2)" sheetId="22" state="hidden" r:id="rId16"/>
    <sheet name="CRONOGRAMA FF" sheetId="17" r:id="rId17"/>
    <sheet name="BDI" sheetId="6" r:id="rId18"/>
  </sheets>
  <externalReferences>
    <externalReference r:id="rId19"/>
    <externalReference r:id="rId20"/>
  </externalReferences>
  <definedNames>
    <definedName name="_xlnm.Print_Area" localSheetId="11">'CAL VERIFICAÇÕES'!$A$1:$R$33</definedName>
    <definedName name="_xlnm.Print_Area" localSheetId="10">'CALC. DIMEN.'!$A$1:$M$33</definedName>
    <definedName name="_xlnm.Print_Area" localSheetId="7">'COMPOSIÇÕES E COTAÇÕES'!$A$1:$G$18</definedName>
    <definedName name="_xlnm.Print_Area" localSheetId="16">'CRONOGRAMA FF'!$A$1:$I$21</definedName>
    <definedName name="_xlnm.Print_Area" localSheetId="1">'DESCRIÇÃO DE ORÇAMENTO'!$A$1:$G$19</definedName>
    <definedName name="_xlnm.Print_Area" localSheetId="6">'MEM. CÁLCULO'!$A$1:$F$59</definedName>
    <definedName name="_xlnm.Print_Area" localSheetId="3">'PLANILHA ORÇAMENTÁRIA'!$A$1:$I$72</definedName>
    <definedName name="_xlnm.Print_Titles" localSheetId="3">'PLANILHA ORÇAMENTÁRIA'!$5:$6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5" l="1"/>
  <c r="D40" i="25"/>
  <c r="F26" i="15"/>
  <c r="D52" i="25"/>
  <c r="B50" i="25"/>
  <c r="A50" i="25"/>
  <c r="D43" i="25"/>
  <c r="F23" i="15" s="1"/>
  <c r="A41" i="25"/>
  <c r="B38" i="25"/>
  <c r="A38" i="25"/>
  <c r="B41" i="25"/>
  <c r="D37" i="25"/>
  <c r="F21" i="15" s="1"/>
  <c r="B35" i="25"/>
  <c r="A35" i="25"/>
  <c r="D28" i="25"/>
  <c r="F17" i="15" s="1"/>
  <c r="B26" i="25"/>
  <c r="A26" i="25"/>
  <c r="D19" i="25"/>
  <c r="B17" i="25"/>
  <c r="A17" i="25"/>
  <c r="D49" i="25"/>
  <c r="F25" i="15" s="1"/>
  <c r="B47" i="25"/>
  <c r="A47" i="25"/>
  <c r="D46" i="25"/>
  <c r="F24" i="15" s="1"/>
  <c r="B44" i="25"/>
  <c r="A44" i="25"/>
  <c r="F22" i="15"/>
  <c r="D34" i="25"/>
  <c r="F20" i="15" s="1"/>
  <c r="B32" i="25"/>
  <c r="A32" i="25"/>
  <c r="D25" i="25"/>
  <c r="F16" i="15" s="1"/>
  <c r="A23" i="25"/>
  <c r="B23" i="25"/>
  <c r="D31" i="25"/>
  <c r="F18" i="15" s="1"/>
  <c r="B29" i="25"/>
  <c r="A29" i="25"/>
  <c r="D22" i="25"/>
  <c r="F15" i="15" s="1"/>
  <c r="B20" i="25"/>
  <c r="A20" i="25"/>
  <c r="D16" i="25"/>
  <c r="D10" i="25"/>
  <c r="C13" i="25" s="1"/>
  <c r="D13" i="25" l="1"/>
  <c r="F32" i="15" s="1"/>
  <c r="B12" i="18"/>
  <c r="F35" i="15"/>
  <c r="B14" i="25"/>
  <c r="A14" i="25"/>
  <c r="F28" i="15"/>
  <c r="B8" i="25"/>
  <c r="A8" i="25"/>
  <c r="I10" i="17"/>
  <c r="I11" i="17"/>
  <c r="I12" i="17"/>
  <c r="I13" i="17"/>
  <c r="B11" i="18"/>
  <c r="G13" i="24"/>
  <c r="G12" i="24"/>
  <c r="F30" i="15" l="1"/>
  <c r="F33" i="15"/>
  <c r="F31" i="15"/>
  <c r="G14" i="24"/>
  <c r="G8" i="15" s="1"/>
  <c r="A10" i="17" l="1"/>
  <c r="A11" i="17"/>
  <c r="A12" i="17"/>
  <c r="A13" i="17"/>
  <c r="B13" i="17" l="1"/>
  <c r="B12" i="17"/>
  <c r="B10" i="18"/>
  <c r="B11" i="17" s="1"/>
  <c r="B9" i="18"/>
  <c r="B10" i="17" s="1"/>
  <c r="B8" i="18"/>
  <c r="B9" i="17" s="1"/>
  <c r="B4" i="25" l="1"/>
  <c r="B3" i="25"/>
  <c r="B2" i="25"/>
  <c r="B1" i="25"/>
  <c r="B1" i="18"/>
  <c r="A4" i="25"/>
  <c r="A3" i="25"/>
  <c r="A2" i="25"/>
  <c r="A1" i="25"/>
  <c r="D16" i="6" l="1"/>
  <c r="D8" i="6"/>
  <c r="D11" i="6"/>
  <c r="D21" i="6" l="1"/>
  <c r="G4" i="18" s="1"/>
  <c r="I4" i="15" l="1"/>
  <c r="H18" i="15" l="1"/>
  <c r="I18" i="15" s="1"/>
  <c r="H24" i="15"/>
  <c r="I24" i="15" s="1"/>
  <c r="H23" i="15"/>
  <c r="I23" i="15" s="1"/>
  <c r="H26" i="15"/>
  <c r="I26" i="15" s="1"/>
  <c r="H22" i="15"/>
  <c r="I22" i="15" s="1"/>
  <c r="H20" i="15"/>
  <c r="I20" i="15" s="1"/>
  <c r="H21" i="15"/>
  <c r="I21" i="15" s="1"/>
  <c r="H25" i="15"/>
  <c r="I25" i="15" s="1"/>
  <c r="H16" i="15"/>
  <c r="I16" i="15" s="1"/>
  <c r="H17" i="15"/>
  <c r="I17" i="15" s="1"/>
  <c r="H14" i="15"/>
  <c r="I14" i="15" s="1"/>
  <c r="H15" i="15"/>
  <c r="I15" i="15" s="1"/>
  <c r="H33" i="15"/>
  <c r="I33" i="15" s="1"/>
  <c r="H31" i="15"/>
  <c r="I31" i="15" s="1"/>
  <c r="H32" i="15"/>
  <c r="I32" i="15" s="1"/>
  <c r="H40" i="15"/>
  <c r="I40" i="15" s="1"/>
  <c r="H38" i="15"/>
  <c r="I38" i="15" s="1"/>
  <c r="H37" i="15"/>
  <c r="I37" i="15" s="1"/>
  <c r="H59" i="15"/>
  <c r="I59" i="15" s="1"/>
  <c r="H11" i="15"/>
  <c r="I11" i="15" s="1"/>
  <c r="I9" i="15" s="1"/>
  <c r="H35" i="15"/>
  <c r="I35" i="15" s="1"/>
  <c r="I34" i="15" s="1"/>
  <c r="H39" i="15"/>
  <c r="I39" i="15" s="1"/>
  <c r="H28" i="15"/>
  <c r="I28" i="15" s="1"/>
  <c r="H61" i="15"/>
  <c r="I61" i="15" s="1"/>
  <c r="H60" i="15"/>
  <c r="I60" i="15" s="1"/>
  <c r="H30" i="15"/>
  <c r="I30" i="15" s="1"/>
  <c r="H58" i="15"/>
  <c r="I58" i="15" s="1"/>
  <c r="H57" i="15"/>
  <c r="I57" i="15" s="1"/>
  <c r="H56" i="15"/>
  <c r="I56" i="15" s="1"/>
  <c r="H55" i="15"/>
  <c r="I55" i="15" s="1"/>
  <c r="H54" i="15"/>
  <c r="I54" i="15" s="1"/>
  <c r="H52" i="15"/>
  <c r="I52" i="15" s="1"/>
  <c r="H51" i="15"/>
  <c r="I51" i="15" s="1"/>
  <c r="H50" i="15"/>
  <c r="I50" i="15" s="1"/>
  <c r="H49" i="15"/>
  <c r="I49" i="15" s="1"/>
  <c r="H48" i="15"/>
  <c r="I48" i="15" s="1"/>
  <c r="H47" i="15"/>
  <c r="I47" i="15" s="1"/>
  <c r="H46" i="15"/>
  <c r="I46" i="15" s="1"/>
  <c r="H45" i="15"/>
  <c r="I45" i="15" s="1"/>
  <c r="H44" i="15"/>
  <c r="I44" i="15" s="1"/>
  <c r="H43" i="15"/>
  <c r="I43" i="15" s="1"/>
  <c r="H41" i="15"/>
  <c r="I41" i="15" s="1"/>
  <c r="H66" i="15"/>
  <c r="I66" i="15" s="1"/>
  <c r="H65" i="15"/>
  <c r="I65" i="15" s="1"/>
  <c r="H63" i="15"/>
  <c r="I63" i="15" s="1"/>
  <c r="H64" i="15"/>
  <c r="I64" i="15" s="1"/>
  <c r="F12" i="18" l="1"/>
  <c r="I12" i="15"/>
  <c r="I29" i="15"/>
  <c r="F11" i="18" s="1"/>
  <c r="C12" i="17" s="1"/>
  <c r="H8" i="15"/>
  <c r="I8" i="15" s="1"/>
  <c r="I7" i="15" s="1"/>
  <c r="I62" i="15" s="1"/>
  <c r="F9" i="18"/>
  <c r="C10" i="17" s="1"/>
  <c r="J62" i="15" l="1"/>
  <c r="F10" i="18"/>
  <c r="G12" i="17"/>
  <c r="E12" i="17"/>
  <c r="E10" i="17"/>
  <c r="G10" i="17"/>
  <c r="A9" i="17"/>
  <c r="C11" i="17" l="1"/>
  <c r="C13" i="17"/>
  <c r="E13" i="17" s="1"/>
  <c r="F8" i="18"/>
  <c r="C9" i="17" s="1"/>
  <c r="G13" i="17" l="1"/>
  <c r="G11" i="17"/>
  <c r="E11" i="17"/>
  <c r="B2" i="24"/>
  <c r="B3" i="24"/>
  <c r="B1" i="24"/>
  <c r="B2" i="17"/>
  <c r="B3" i="17"/>
  <c r="B1" i="17"/>
  <c r="B2" i="18"/>
  <c r="B3" i="18"/>
  <c r="A4" i="24"/>
  <c r="A3" i="24"/>
  <c r="A2" i="24"/>
  <c r="A1" i="24"/>
  <c r="C15" i="22" l="1"/>
  <c r="E15" i="22" s="1"/>
  <c r="F15" i="22" s="1"/>
  <c r="B14" i="22"/>
  <c r="C14" i="22" s="1"/>
  <c r="E14" i="22" s="1"/>
  <c r="F14" i="22" s="1"/>
  <c r="B13" i="22"/>
  <c r="C13" i="22" s="1"/>
  <c r="E13" i="22" s="1"/>
  <c r="F13" i="22" s="1"/>
  <c r="B12" i="22"/>
  <c r="C12" i="22" s="1"/>
  <c r="E12" i="22" s="1"/>
  <c r="F12" i="22" s="1"/>
  <c r="B11" i="22"/>
  <c r="C11" i="22" s="1"/>
  <c r="E11" i="22" s="1"/>
  <c r="F11" i="22" s="1"/>
  <c r="B3" i="22"/>
  <c r="B2" i="22"/>
  <c r="B1" i="22"/>
  <c r="G32" i="21" l="1"/>
  <c r="G31" i="21"/>
  <c r="G30" i="21"/>
  <c r="G29" i="21"/>
  <c r="G23" i="21"/>
  <c r="G22" i="21"/>
  <c r="G21" i="21"/>
  <c r="G15" i="21"/>
  <c r="G14" i="21"/>
  <c r="G13" i="21"/>
  <c r="G12" i="21"/>
  <c r="G11" i="21"/>
  <c r="G10" i="21"/>
  <c r="G9" i="21"/>
  <c r="B4" i="21"/>
  <c r="A4" i="21"/>
  <c r="B3" i="21"/>
  <c r="A3" i="21"/>
  <c r="B2" i="21"/>
  <c r="A2" i="21"/>
  <c r="B1" i="21"/>
  <c r="A1" i="21"/>
  <c r="B14" i="13"/>
  <c r="B13" i="13"/>
  <c r="B12" i="13"/>
  <c r="G18" i="19"/>
  <c r="F18" i="19"/>
  <c r="G17" i="19"/>
  <c r="F17" i="19"/>
  <c r="G16" i="19"/>
  <c r="F16" i="19"/>
  <c r="G15" i="19"/>
  <c r="F15" i="19"/>
  <c r="G14" i="19"/>
  <c r="F14" i="19"/>
  <c r="G13" i="19"/>
  <c r="F13" i="19"/>
  <c r="G12" i="19"/>
  <c r="F12" i="19"/>
  <c r="G11" i="19"/>
  <c r="F11" i="19"/>
  <c r="G10" i="19"/>
  <c r="F10" i="19"/>
  <c r="H9" i="19"/>
  <c r="G9" i="19"/>
  <c r="F9" i="19"/>
  <c r="B3" i="19"/>
  <c r="B2" i="19"/>
  <c r="B1" i="19"/>
  <c r="G33" i="21" l="1"/>
  <c r="H10" i="19"/>
  <c r="H11" i="19" s="1"/>
  <c r="I11" i="19" s="1"/>
  <c r="G16" i="21"/>
  <c r="G24" i="21"/>
  <c r="I9" i="19"/>
  <c r="I10" i="19"/>
  <c r="Q10" i="14"/>
  <c r="K10" i="19" s="1"/>
  <c r="Q11" i="14"/>
  <c r="K11" i="19" s="1"/>
  <c r="Q12" i="14"/>
  <c r="K12" i="19" s="1"/>
  <c r="Q13" i="14"/>
  <c r="K13" i="19" s="1"/>
  <c r="Q14" i="14"/>
  <c r="K14" i="19" s="1"/>
  <c r="Q15" i="14"/>
  <c r="K15" i="19" s="1"/>
  <c r="Q16" i="14"/>
  <c r="K16" i="19" s="1"/>
  <c r="Q17" i="14"/>
  <c r="K17" i="19" s="1"/>
  <c r="Q18" i="14"/>
  <c r="K18" i="19" s="1"/>
  <c r="Q9" i="14"/>
  <c r="K9" i="19" s="1"/>
  <c r="M18" i="14"/>
  <c r="H18" i="14"/>
  <c r="G18" i="14"/>
  <c r="J18" i="14" s="1"/>
  <c r="O18" i="14" s="1"/>
  <c r="P18" i="14" s="1"/>
  <c r="R18" i="14" s="1"/>
  <c r="M17" i="14"/>
  <c r="H17" i="14"/>
  <c r="G17" i="14"/>
  <c r="J17" i="14" s="1"/>
  <c r="M16" i="14"/>
  <c r="H16" i="14"/>
  <c r="G16" i="14"/>
  <c r="J16" i="14" s="1"/>
  <c r="O16" i="14" s="1"/>
  <c r="P16" i="14" s="1"/>
  <c r="R16" i="14" s="1"/>
  <c r="M15" i="14"/>
  <c r="H15" i="14"/>
  <c r="G15" i="14"/>
  <c r="J15" i="14" s="1"/>
  <c r="O15" i="14" s="1"/>
  <c r="P15" i="14" s="1"/>
  <c r="R15" i="14" s="1"/>
  <c r="M14" i="14"/>
  <c r="H14" i="14"/>
  <c r="G14" i="14"/>
  <c r="J14" i="14" s="1"/>
  <c r="O14" i="14" s="1"/>
  <c r="P14" i="14" s="1"/>
  <c r="R14" i="14" s="1"/>
  <c r="M13" i="14"/>
  <c r="H13" i="14"/>
  <c r="G13" i="14"/>
  <c r="J13" i="14" s="1"/>
  <c r="O13" i="14" s="1"/>
  <c r="P13" i="14" s="1"/>
  <c r="R13" i="14" s="1"/>
  <c r="M12" i="14"/>
  <c r="H12" i="14"/>
  <c r="G12" i="14"/>
  <c r="J12" i="14" s="1"/>
  <c r="O12" i="14" s="1"/>
  <c r="P12" i="14" s="1"/>
  <c r="R12" i="14" s="1"/>
  <c r="M11" i="14"/>
  <c r="H11" i="14"/>
  <c r="G11" i="14"/>
  <c r="J11" i="14" s="1"/>
  <c r="O11" i="14" s="1"/>
  <c r="P11" i="14" s="1"/>
  <c r="R11" i="14" s="1"/>
  <c r="H10" i="14"/>
  <c r="H9" i="14"/>
  <c r="M10" i="14"/>
  <c r="G10" i="14"/>
  <c r="J10" i="14" s="1"/>
  <c r="O10" i="14" s="1"/>
  <c r="H12" i="19" l="1"/>
  <c r="O17" i="14"/>
  <c r="P17" i="14" s="1"/>
  <c r="R17" i="14" s="1"/>
  <c r="P10" i="14"/>
  <c r="R10" i="14" s="1"/>
  <c r="M9" i="14"/>
  <c r="I9" i="14"/>
  <c r="I10" i="14" s="1"/>
  <c r="G9" i="14"/>
  <c r="J9" i="14" s="1"/>
  <c r="O9" i="14" s="1"/>
  <c r="B3" i="14"/>
  <c r="B2" i="14"/>
  <c r="B1" i="14"/>
  <c r="F28" i="2"/>
  <c r="B11" i="13"/>
  <c r="J32" i="9"/>
  <c r="H32" i="9"/>
  <c r="I32" i="9" s="1"/>
  <c r="J31" i="9"/>
  <c r="H31" i="9"/>
  <c r="I31" i="9" s="1"/>
  <c r="J30" i="9"/>
  <c r="H30" i="9"/>
  <c r="I30" i="9" s="1"/>
  <c r="J29" i="9"/>
  <c r="H29" i="9"/>
  <c r="I29" i="9" s="1"/>
  <c r="J28" i="9"/>
  <c r="H28" i="9"/>
  <c r="I28" i="9" s="1"/>
  <c r="J27" i="9"/>
  <c r="H27" i="9"/>
  <c r="I27" i="9" s="1"/>
  <c r="J26" i="9"/>
  <c r="H26" i="9"/>
  <c r="K26" i="9" s="1"/>
  <c r="J25" i="9"/>
  <c r="H25" i="9"/>
  <c r="K25" i="9" s="1"/>
  <c r="J24" i="9"/>
  <c r="H24" i="9"/>
  <c r="K24" i="9" s="1"/>
  <c r="J23" i="9"/>
  <c r="H23" i="9"/>
  <c r="K23" i="9" s="1"/>
  <c r="J22" i="9"/>
  <c r="H22" i="9"/>
  <c r="K22" i="9" s="1"/>
  <c r="J21" i="9"/>
  <c r="H21" i="9"/>
  <c r="K21" i="9" s="1"/>
  <c r="J20" i="9"/>
  <c r="H20" i="9"/>
  <c r="K20" i="9" s="1"/>
  <c r="J19" i="9"/>
  <c r="H19" i="9"/>
  <c r="K19" i="9" s="1"/>
  <c r="J18" i="9"/>
  <c r="H18" i="9"/>
  <c r="I18" i="9" s="1"/>
  <c r="F35" i="2"/>
  <c r="F26" i="2"/>
  <c r="F25" i="2"/>
  <c r="G18" i="11"/>
  <c r="E18" i="11"/>
  <c r="H18" i="11" s="1"/>
  <c r="C18" i="11"/>
  <c r="F18" i="11" s="1"/>
  <c r="L18" i="10"/>
  <c r="J18" i="10"/>
  <c r="H18" i="10"/>
  <c r="K18" i="10" s="1"/>
  <c r="D12" i="2"/>
  <c r="K27" i="9" l="1"/>
  <c r="K32" i="9"/>
  <c r="J18" i="11"/>
  <c r="K18" i="11" s="1"/>
  <c r="K31" i="9"/>
  <c r="I18" i="10"/>
  <c r="K28" i="9"/>
  <c r="I12" i="19"/>
  <c r="H13" i="19"/>
  <c r="K18" i="9"/>
  <c r="K30" i="9"/>
  <c r="K29" i="9"/>
  <c r="K10" i="14"/>
  <c r="I11" i="14"/>
  <c r="P9" i="14"/>
  <c r="R9" i="14" s="1"/>
  <c r="I19" i="9"/>
  <c r="I20" i="9"/>
  <c r="I21" i="9"/>
  <c r="I22" i="9"/>
  <c r="I23" i="9"/>
  <c r="I24" i="9"/>
  <c r="I25" i="9"/>
  <c r="I26" i="9"/>
  <c r="C14" i="13"/>
  <c r="E14" i="13" s="1"/>
  <c r="F14" i="13" s="1"/>
  <c r="C15" i="13"/>
  <c r="E15" i="13" s="1"/>
  <c r="F15" i="13" s="1"/>
  <c r="C11" i="13"/>
  <c r="E11" i="13" s="1"/>
  <c r="F11" i="13" s="1"/>
  <c r="C12" i="13"/>
  <c r="E12" i="13" s="1"/>
  <c r="F12" i="13" s="1"/>
  <c r="C13" i="13"/>
  <c r="E13" i="13" s="1"/>
  <c r="F13" i="13" s="1"/>
  <c r="B3" i="13"/>
  <c r="B2" i="13"/>
  <c r="B1" i="13"/>
  <c r="C9" i="12"/>
  <c r="F9" i="12" s="1"/>
  <c r="G9" i="12"/>
  <c r="H9" i="12"/>
  <c r="B3" i="12"/>
  <c r="B2" i="12"/>
  <c r="B1" i="12"/>
  <c r="G17" i="11"/>
  <c r="E17" i="11"/>
  <c r="H17" i="11" s="1"/>
  <c r="C17" i="11"/>
  <c r="F17" i="11" s="1"/>
  <c r="G16" i="11"/>
  <c r="E16" i="11"/>
  <c r="H16" i="11" s="1"/>
  <c r="C16" i="11"/>
  <c r="F16" i="11" s="1"/>
  <c r="G15" i="11"/>
  <c r="E15" i="11"/>
  <c r="H15" i="11" s="1"/>
  <c r="C15" i="11"/>
  <c r="F15" i="11" s="1"/>
  <c r="G14" i="11"/>
  <c r="E14" i="11"/>
  <c r="H14" i="11" s="1"/>
  <c r="C14" i="11"/>
  <c r="F14" i="11" s="1"/>
  <c r="G13" i="11"/>
  <c r="E13" i="11"/>
  <c r="H13" i="11" s="1"/>
  <c r="C13" i="11"/>
  <c r="F13" i="11" s="1"/>
  <c r="G12" i="11"/>
  <c r="E12" i="11"/>
  <c r="H12" i="11" s="1"/>
  <c r="C12" i="11"/>
  <c r="F12" i="11" s="1"/>
  <c r="G11" i="11"/>
  <c r="E11" i="11"/>
  <c r="H11" i="11" s="1"/>
  <c r="C11" i="11"/>
  <c r="F11" i="11" s="1"/>
  <c r="E10" i="11"/>
  <c r="H10" i="11" s="1"/>
  <c r="C10" i="11"/>
  <c r="F10" i="11" s="1"/>
  <c r="E9" i="11"/>
  <c r="H9" i="11" s="1"/>
  <c r="C9" i="11"/>
  <c r="F9" i="11" s="1"/>
  <c r="G10" i="11"/>
  <c r="G9" i="11"/>
  <c r="B3" i="11"/>
  <c r="B2" i="11"/>
  <c r="B1" i="11"/>
  <c r="J9" i="9"/>
  <c r="H9" i="9"/>
  <c r="I9" i="9" s="1"/>
  <c r="J10" i="9"/>
  <c r="L17" i="10"/>
  <c r="J17" i="10"/>
  <c r="H17" i="10"/>
  <c r="K17" i="10" s="1"/>
  <c r="L16" i="10"/>
  <c r="J16" i="10"/>
  <c r="H16" i="10"/>
  <c r="I16" i="10" s="1"/>
  <c r="L15" i="10"/>
  <c r="J15" i="10"/>
  <c r="H15" i="10"/>
  <c r="I15" i="10" s="1"/>
  <c r="L14" i="10"/>
  <c r="J14" i="10"/>
  <c r="H14" i="10"/>
  <c r="K14" i="10" s="1"/>
  <c r="L13" i="10"/>
  <c r="J13" i="10"/>
  <c r="H13" i="10"/>
  <c r="I13" i="10" s="1"/>
  <c r="L12" i="10"/>
  <c r="J12" i="10"/>
  <c r="H12" i="10"/>
  <c r="I12" i="10" s="1"/>
  <c r="L11" i="10"/>
  <c r="J11" i="10"/>
  <c r="H11" i="10"/>
  <c r="I11" i="10" s="1"/>
  <c r="L10" i="10"/>
  <c r="J10" i="10"/>
  <c r="H10" i="10"/>
  <c r="K10" i="10" s="1"/>
  <c r="L9" i="10"/>
  <c r="J9" i="10"/>
  <c r="H9" i="10"/>
  <c r="I9" i="10" s="1"/>
  <c r="B3" i="10"/>
  <c r="B2" i="10"/>
  <c r="B1" i="10"/>
  <c r="J11" i="9"/>
  <c r="J12" i="9"/>
  <c r="J13" i="9"/>
  <c r="J14" i="9"/>
  <c r="J15" i="9"/>
  <c r="J16" i="9"/>
  <c r="J17" i="9"/>
  <c r="H10" i="9"/>
  <c r="K10" i="9" s="1"/>
  <c r="H11" i="9"/>
  <c r="I11" i="9" s="1"/>
  <c r="H12" i="9"/>
  <c r="I12" i="9" s="1"/>
  <c r="H13" i="9"/>
  <c r="K13" i="9" s="1"/>
  <c r="H14" i="9"/>
  <c r="I14" i="9" s="1"/>
  <c r="H15" i="9"/>
  <c r="I15" i="9" s="1"/>
  <c r="H16" i="9"/>
  <c r="I16" i="9" s="1"/>
  <c r="H17" i="9"/>
  <c r="K17" i="9" s="1"/>
  <c r="B3" i="9"/>
  <c r="B2" i="9"/>
  <c r="B1" i="9"/>
  <c r="K10" i="5"/>
  <c r="K11" i="5"/>
  <c r="K12" i="5"/>
  <c r="K9" i="5"/>
  <c r="A12" i="5"/>
  <c r="A11" i="5"/>
  <c r="A10" i="5"/>
  <c r="A9" i="5"/>
  <c r="B3" i="5"/>
  <c r="B2" i="5"/>
  <c r="B1" i="5"/>
  <c r="G12" i="2"/>
  <c r="B11" i="1"/>
  <c r="B10" i="1"/>
  <c r="B9" i="1"/>
  <c r="B10" i="5" s="1"/>
  <c r="B8" i="1"/>
  <c r="B4" i="1"/>
  <c r="B3" i="1"/>
  <c r="B1" i="1"/>
  <c r="I4" i="2" l="1"/>
  <c r="H10" i="2" s="1"/>
  <c r="I10" i="2" s="1"/>
  <c r="K9" i="10"/>
  <c r="K15" i="10"/>
  <c r="B4" i="22"/>
  <c r="B4" i="19"/>
  <c r="I13" i="19"/>
  <c r="H14" i="19"/>
  <c r="B9" i="5"/>
  <c r="B11" i="5"/>
  <c r="B2" i="1"/>
  <c r="B4" i="5"/>
  <c r="B4" i="14"/>
  <c r="K13" i="10"/>
  <c r="B12" i="5"/>
  <c r="K11" i="10"/>
  <c r="J33" i="9"/>
  <c r="I12" i="14"/>
  <c r="K11" i="14"/>
  <c r="K9" i="14"/>
  <c r="F43" i="2"/>
  <c r="F15" i="2"/>
  <c r="F17" i="2"/>
  <c r="F16" i="2"/>
  <c r="K16" i="9"/>
  <c r="K15" i="9"/>
  <c r="K11" i="9"/>
  <c r="K12" i="9"/>
  <c r="K9" i="9"/>
  <c r="J13" i="11"/>
  <c r="K13" i="11" s="1"/>
  <c r="J15" i="11"/>
  <c r="K15" i="11" s="1"/>
  <c r="I17" i="10"/>
  <c r="F19" i="2" s="1"/>
  <c r="J19" i="10"/>
  <c r="L19" i="10"/>
  <c r="B4" i="12"/>
  <c r="B4" i="10"/>
  <c r="B4" i="13"/>
  <c r="B4" i="11"/>
  <c r="B4" i="9"/>
  <c r="J9" i="12"/>
  <c r="K9" i="12" s="1"/>
  <c r="J11" i="11"/>
  <c r="K11" i="11" s="1"/>
  <c r="J17" i="11"/>
  <c r="K17" i="11" s="1"/>
  <c r="J16" i="11"/>
  <c r="K16" i="11" s="1"/>
  <c r="J14" i="11"/>
  <c r="K14" i="11" s="1"/>
  <c r="J12" i="11"/>
  <c r="K12" i="11" s="1"/>
  <c r="J9" i="11"/>
  <c r="J10" i="11"/>
  <c r="K10" i="11" s="1"/>
  <c r="I17" i="9"/>
  <c r="I13" i="9"/>
  <c r="K14" i="9"/>
  <c r="I10" i="9"/>
  <c r="I10" i="10"/>
  <c r="K12" i="10"/>
  <c r="I14" i="10"/>
  <c r="K16" i="10"/>
  <c r="G36" i="2"/>
  <c r="H19" i="2" l="1"/>
  <c r="H41" i="2"/>
  <c r="H38" i="2"/>
  <c r="I38" i="2" s="1"/>
  <c r="H43" i="2"/>
  <c r="I43" i="2" s="1"/>
  <c r="H14" i="2"/>
  <c r="H20" i="2"/>
  <c r="H34" i="2"/>
  <c r="I34" i="2" s="1"/>
  <c r="H28" i="2"/>
  <c r="I28" i="2" s="1"/>
  <c r="H17" i="2"/>
  <c r="I17" i="2" s="1"/>
  <c r="H31" i="2"/>
  <c r="I31" i="2" s="1"/>
  <c r="H25" i="2"/>
  <c r="I25" i="2" s="1"/>
  <c r="H18" i="2"/>
  <c r="H21" i="2"/>
  <c r="H15" i="2"/>
  <c r="I15" i="2" s="1"/>
  <c r="H36" i="2"/>
  <c r="I36" i="2" s="1"/>
  <c r="H9" i="2"/>
  <c r="I9" i="2" s="1"/>
  <c r="H33" i="2"/>
  <c r="I33" i="2" s="1"/>
  <c r="H12" i="2"/>
  <c r="I12" i="2" s="1"/>
  <c r="H35" i="2"/>
  <c r="I35" i="2" s="1"/>
  <c r="H26" i="2"/>
  <c r="I26" i="2" s="1"/>
  <c r="H16" i="2"/>
  <c r="I16" i="2" s="1"/>
  <c r="I19" i="2"/>
  <c r="F18" i="2"/>
  <c r="F21" i="2"/>
  <c r="I33" i="9"/>
  <c r="I14" i="19"/>
  <c r="H15" i="19"/>
  <c r="K33" i="9"/>
  <c r="G8" i="2"/>
  <c r="H8" i="2" s="1"/>
  <c r="I8" i="2" s="1"/>
  <c r="I7" i="2" s="1"/>
  <c r="F8" i="1" s="1"/>
  <c r="I13" i="14"/>
  <c r="K12" i="14"/>
  <c r="K9" i="11"/>
  <c r="K19" i="11" s="1"/>
  <c r="J19" i="11"/>
  <c r="I19" i="10"/>
  <c r="K19" i="10"/>
  <c r="J10" i="12"/>
  <c r="K10" i="12"/>
  <c r="I18" i="2" l="1"/>
  <c r="I21" i="2"/>
  <c r="I22" i="2"/>
  <c r="F10" i="1" s="1"/>
  <c r="C11" i="5" s="1"/>
  <c r="G11" i="5" s="1"/>
  <c r="F14" i="2"/>
  <c r="I14" i="2" s="1"/>
  <c r="A21" i="22"/>
  <c r="C21" i="22" s="1"/>
  <c r="D21" i="22" s="1"/>
  <c r="I15" i="19"/>
  <c r="H16" i="19"/>
  <c r="F20" i="2"/>
  <c r="I20" i="2" s="1"/>
  <c r="I14" i="14"/>
  <c r="K13" i="14"/>
  <c r="A21" i="13"/>
  <c r="C21" i="13" s="1"/>
  <c r="D21" i="13" s="1"/>
  <c r="C9" i="5"/>
  <c r="E11" i="5" l="1"/>
  <c r="I11" i="5"/>
  <c r="I13" i="2"/>
  <c r="F9" i="1" s="1"/>
  <c r="C10" i="5" s="1"/>
  <c r="G10" i="5" s="1"/>
  <c r="I16" i="19"/>
  <c r="H17" i="19"/>
  <c r="F41" i="2"/>
  <c r="I41" i="2" s="1"/>
  <c r="I39" i="2" s="1"/>
  <c r="I44" i="2" s="1"/>
  <c r="I15" i="14"/>
  <c r="K14" i="14"/>
  <c r="I9" i="5"/>
  <c r="E9" i="5"/>
  <c r="G9" i="5"/>
  <c r="I10" i="5" l="1"/>
  <c r="E10" i="5"/>
  <c r="F11" i="1"/>
  <c r="C12" i="5" s="1"/>
  <c r="I17" i="19"/>
  <c r="H18" i="19"/>
  <c r="K15" i="14"/>
  <c r="I16" i="14"/>
  <c r="F12" i="1"/>
  <c r="I18" i="19" l="1"/>
  <c r="I17" i="14"/>
  <c r="K17" i="14" s="1"/>
  <c r="K16" i="14"/>
  <c r="I12" i="5"/>
  <c r="I13" i="5" s="1"/>
  <c r="G12" i="5"/>
  <c r="G13" i="5" s="1"/>
  <c r="E12" i="5"/>
  <c r="C13" i="5"/>
  <c r="I18" i="14" l="1"/>
  <c r="K18" i="14" s="1"/>
  <c r="H13" i="5"/>
  <c r="D9" i="5"/>
  <c r="D11" i="5"/>
  <c r="D10" i="5"/>
  <c r="E13" i="5"/>
  <c r="E14" i="5" s="1"/>
  <c r="D12" i="5"/>
  <c r="J13" i="5"/>
  <c r="D13" i="5" l="1"/>
  <c r="G14" i="5"/>
  <c r="I14" i="5" s="1"/>
  <c r="F13" i="5"/>
  <c r="F14" i="5" s="1"/>
  <c r="H14" i="5" s="1"/>
  <c r="J14" i="5" s="1"/>
  <c r="K13" i="5" l="1"/>
  <c r="F13" i="18" l="1"/>
  <c r="G10" i="18" l="1"/>
  <c r="G9" i="18"/>
  <c r="G12" i="18"/>
  <c r="G8" i="18"/>
  <c r="G11" i="18"/>
  <c r="G13" i="18" l="1"/>
  <c r="C14" i="17"/>
  <c r="G9" i="17"/>
  <c r="G14" i="17" s="1"/>
  <c r="H14" i="17" l="1"/>
  <c r="I9" i="17"/>
  <c r="E9" i="17"/>
  <c r="D9" i="17"/>
  <c r="D11" i="17"/>
  <c r="D12" i="17"/>
  <c r="D10" i="17"/>
  <c r="D13" i="17"/>
  <c r="D14" i="17" l="1"/>
  <c r="E14" i="17"/>
  <c r="E15" i="17" s="1"/>
  <c r="G15" i="17" l="1"/>
  <c r="F14" i="17"/>
  <c r="I14" i="17" s="1"/>
  <c r="F15" i="17" l="1"/>
  <c r="H15" i="17" s="1"/>
</calcChain>
</file>

<file path=xl/sharedStrings.xml><?xml version="1.0" encoding="utf-8"?>
<sst xmlns="http://schemas.openxmlformats.org/spreadsheetml/2006/main" count="1056" uniqueCount="434">
  <si>
    <t>Obra:</t>
  </si>
  <si>
    <t>Proprietário:</t>
  </si>
  <si>
    <t>Local:</t>
  </si>
  <si>
    <t>Data:</t>
  </si>
  <si>
    <t>RESUMO ORÇAMENTO</t>
  </si>
  <si>
    <t>Item</t>
  </si>
  <si>
    <t>DESCRIÇÃO</t>
  </si>
  <si>
    <t>Valores totais</t>
  </si>
  <si>
    <t>1.0</t>
  </si>
  <si>
    <t>2.0</t>
  </si>
  <si>
    <t>3.0</t>
  </si>
  <si>
    <t>4.0</t>
  </si>
  <si>
    <t>TOTAL</t>
  </si>
  <si>
    <t>JOÃO GUSTAVO FARIA DOS SANTOS JÚNIOR</t>
  </si>
  <si>
    <t>ENG. CIVIL - CREA Nº 5064045506</t>
  </si>
  <si>
    <t>BASE DE PREÇOS</t>
  </si>
  <si>
    <t>BDI</t>
  </si>
  <si>
    <t>PLANILHA ORÇAMENTÁRIA</t>
  </si>
  <si>
    <t xml:space="preserve">Código </t>
  </si>
  <si>
    <t>Descrição</t>
  </si>
  <si>
    <t xml:space="preserve">Unid. </t>
  </si>
  <si>
    <t>Quant.</t>
  </si>
  <si>
    <t>Preço unitário (R$)</t>
  </si>
  <si>
    <t>Preço unitário  BDI (R$)</t>
  </si>
  <si>
    <t>Valor final (R$)</t>
  </si>
  <si>
    <t>SERVIÇOS PRELIMINARES</t>
  </si>
  <si>
    <t>1.1</t>
  </si>
  <si>
    <t>COMP.001</t>
  </si>
  <si>
    <t>PLACA DE OBRA EM CHAPA DE ACO GALVANIZADO</t>
  </si>
  <si>
    <t>m²</t>
  </si>
  <si>
    <t xml:space="preserve"> </t>
  </si>
  <si>
    <t>2.1</t>
  </si>
  <si>
    <t>m³</t>
  </si>
  <si>
    <t>2.2</t>
  </si>
  <si>
    <t>2.3</t>
  </si>
  <si>
    <t>2.4</t>
  </si>
  <si>
    <t>unid</t>
  </si>
  <si>
    <t>3.1</t>
  </si>
  <si>
    <t>3.2</t>
  </si>
  <si>
    <t>3.4</t>
  </si>
  <si>
    <t>3.5</t>
  </si>
  <si>
    <t>m</t>
  </si>
  <si>
    <t>UNID</t>
  </si>
  <si>
    <t>11.9</t>
  </si>
  <si>
    <t>11.10</t>
  </si>
  <si>
    <t>COMPOSIÇÃO 001</t>
  </si>
  <si>
    <t>M²</t>
  </si>
  <si>
    <t>SINAPI</t>
  </si>
  <si>
    <t>CÓDIGO</t>
  </si>
  <si>
    <t>COEFICIENTE</t>
  </si>
  <si>
    <t>VALOR UNIT (R$)</t>
  </si>
  <si>
    <t>VALOR (R$)</t>
  </si>
  <si>
    <t>INSUMO</t>
  </si>
  <si>
    <t>SARRAFO DE MADEIRA NAO APARELHADA *2,5 X 7* CM, MACARANDUBA, ANGELIM OU EQUIVALENTE DA REGIAO</t>
  </si>
  <si>
    <t>M</t>
  </si>
  <si>
    <t>1,0000000</t>
  </si>
  <si>
    <t>PONTALETE DE MADEIRA NAO APARELHADA *7,5 X 7,5* CM (3 X 3 ") PINUS, MISTA OU EQUIVALENTE DA REGIAO</t>
  </si>
  <si>
    <t>4,0000000</t>
  </si>
  <si>
    <t>PLACA DE OBRA (PARA CONSTRUCAO CIVIL) EM CHAPA GALVANIZADA *N. 22*, DE *2,0 X 1,125* M</t>
  </si>
  <si>
    <t>M2</t>
  </si>
  <si>
    <t>PREGO DE ACO POLIDO COM CABECA 18 X 30 (2 3/4 X 10)</t>
  </si>
  <si>
    <t>KG</t>
  </si>
  <si>
    <t>0,1100000</t>
  </si>
  <si>
    <t>COMPOSICAO</t>
  </si>
  <si>
    <t>CARPINTEIRO DE FORMAS COM ENCARGOS COMPLEMENTARES</t>
  </si>
  <si>
    <t>H</t>
  </si>
  <si>
    <t>SERVENTE COM ENCARGOS COMPLEMENTARES</t>
  </si>
  <si>
    <t>2,0000000</t>
  </si>
  <si>
    <t>CONCRETO MAGRO PARA LASTRO, TRAÇO 1:4,5:4,5 (CIMENTO/ AREIA MÉDIA/ BRITA 1)  - PREPARO MECÂNICO COM BETONEIRA 400 L. AF_07/2016</t>
  </si>
  <si>
    <t>M3</t>
  </si>
  <si>
    <t>0,0100000</t>
  </si>
  <si>
    <t>TOTAL:</t>
  </si>
  <si>
    <t>COMPOSIÇÃO 002</t>
  </si>
  <si>
    <t>M³</t>
  </si>
  <si>
    <t>ITEM</t>
  </si>
  <si>
    <t>PEDREIRO COM ENCARGOS COMPLEMENTARES</t>
  </si>
  <si>
    <t>COMPOSIÇÃO 003</t>
  </si>
  <si>
    <t>UN</t>
  </si>
  <si>
    <t>CRONOGRAMA FÍSICO FINANCEIRO</t>
  </si>
  <si>
    <t>DESCRIÇÃO/ETAPA</t>
  </si>
  <si>
    <t>PERÍODO</t>
  </si>
  <si>
    <t>À EXECUTAR</t>
  </si>
  <si>
    <t>MÊS 01</t>
  </si>
  <si>
    <t>MÊS 02</t>
  </si>
  <si>
    <t>MÊS 03</t>
  </si>
  <si>
    <t>Valor (R$)</t>
  </si>
  <si>
    <t>%</t>
  </si>
  <si>
    <t>VALOR TOTAL</t>
  </si>
  <si>
    <t>VALOR ACUMULADO</t>
  </si>
  <si>
    <t>MOVIMENTAÇÃO DE TERRA</t>
  </si>
  <si>
    <t>ESCAVAÇÃO MECANIZADA DE VALA COM PROF. MAIOR QUE 1,5 M ATÉ 3,0 M (MÉDIA ENTRE MONTANTE E JUSANTE/UMA COMPOSIÇÃO POR TRECHO), COM ESCAVADEIRA HIDRÁULICA (0,8 M3/111 HP), LARGURA ATÉ 1,5 M, EM SOLO DE 1A CATEGORIA, EM LOCAIS COM ALTO NÍVEL DE INTERFERÊNCIA. AF_02/2021</t>
  </si>
  <si>
    <t>ESCORAMENTO DE VALA, TIPO PONTALETEAMENTO, COM PROFUNDIDADE DE 1,5 A 3,0 M, LARGURA MENOR QUE 1,5 M. AF_08/2020</t>
  </si>
  <si>
    <t>PREPARO DE FUNDO DE VALA COM LARGURA MENOR QUE 1,5 M, COM CAMADA DE AREIA, LANÇAMENTO MECANIZADO. AF_08/2020</t>
  </si>
  <si>
    <t>REATERRO MECANIZADO DE VALA COM ESCAVADEIRA HIDRÁULICA (CAPACIDADE DA CAÇAMBA: 0,8 M³ / POTÊNCIA: 111 HP), LARGURA ATÉ 1,5 M, PROFUNDIDADE DE 1,5 A 3,0 M, COM SOLO DE 1ª CATEGORIA EM LOCAIS COM ALTO NÍVEL DE INTERFERÊNCIA. AF_04/2016</t>
  </si>
  <si>
    <t>REDE DE DRENAGEM</t>
  </si>
  <si>
    <t>ASSENTAMENTO DE TUBOS</t>
  </si>
  <si>
    <t>REDES PRINCIPAIS</t>
  </si>
  <si>
    <t>LIGAÇÕES DE BOCA DE LOBO COM PV'S</t>
  </si>
  <si>
    <t>TUBO DE CONCRETO PARA REDES COLETORAS DE ÁGUAS PLUVIAIS, DIÂMETRO DE 400 MM, JUNTA RÍGIDA, INSTALADO EM LOCAL COM ALTO NÍVEL DE INTERFERÊNCIAS - FORNECIMENTO E ASSENTAMENTO. AF_12/2015=</t>
  </si>
  <si>
    <t>DISPOSITIVOS DE DRENAGEM</t>
  </si>
  <si>
    <t>POÇOS DE VISITA</t>
  </si>
  <si>
    <t>COMP. 003</t>
  </si>
  <si>
    <t>DISPOSITIVOS COLETORES - BOCA DE LOBO</t>
  </si>
  <si>
    <t>DISSIPADORES DE ENERGIA</t>
  </si>
  <si>
    <t>TRANSPORTE</t>
  </si>
  <si>
    <t>ARGAMASSA TRAÇO 1:4 (EM VOLUME DE CIMENTO E AREIA GROSSA ÚMIDA) PARA CHAPISCO CONVENCIONAL, PREPARO MECÂNICO COM BETONEIRA 400 L. AF_08/2019</t>
  </si>
  <si>
    <t>TAMPÃO FOFO ARTICULADO D=600 MM, INSTALADO EM CHAMINÉ PARA DE POÇO DE VISITA</t>
  </si>
  <si>
    <t>BASE DE PREÇO</t>
  </si>
  <si>
    <t>COMP. PRÓPRIA</t>
  </si>
  <si>
    <t>SICRO</t>
  </si>
  <si>
    <t>CHAMINÉ CIRCULAR PARA POÇO DE VISITA PARA ESGOTO, EM ALVENARIA COM TIJOLOS CERÂMICOS MACIÇOS, DIÂMETRO INTERNO = 0,6 M. AF_12/2020</t>
  </si>
  <si>
    <t>Boca de lobo simples - BLS 01 - areia e brita comerciais</t>
  </si>
  <si>
    <t>1.2</t>
  </si>
  <si>
    <t>EXECUÇÃO DE DEPÓSITO EM CANTEIRO DE OBRA EM CHAPA DE MADEIRA COMPENSADA, NÃO INCLUSO MOBILIÁRIO. AF_04/2016</t>
  </si>
  <si>
    <t>TRANSPORTE DE AREIA</t>
  </si>
  <si>
    <t>TRANSPORTE DE TUBOS DE CONCRETO</t>
  </si>
  <si>
    <t>ADMINISTRAÇÃO DA OBRA</t>
  </si>
  <si>
    <t>1.3</t>
  </si>
  <si>
    <t>mês</t>
  </si>
  <si>
    <t>ENGENHEIRO CIVIL DE OBRA PLENO COM ENCARGOS COMPLEMENTARES</t>
  </si>
  <si>
    <t>ENCARREGADO GERAL COM ENCARGOS COMPLEMENTARES</t>
  </si>
  <si>
    <t>TOPOGRAFO COM ENCARGOS COMPLEMENTARES</t>
  </si>
  <si>
    <t>TAMPAO FOFO ARTICULADO, CLASSE B125 CARGA MAX 12,5 T, REDONDO TAMPA 600 MM, REDE PLUVIAL/ESGOTO</t>
  </si>
  <si>
    <t>MÊS</t>
  </si>
  <si>
    <t>TAMPÃO FOFO ARTICULADO PARA CHAMINÉ DE POÇO DE VISITA</t>
  </si>
  <si>
    <t>2.5</t>
  </si>
  <si>
    <t>ESCAVAÇÃO MECANIZADA DE VALA COM PROF. MAIOR QUE 1,50 M ATÉ 3,0 M (MÉDIA ENTRE MONTANTE E JUSANTE/UMA COMPOSIÇÃO POR TRECHO), COM ESCAVADEIRA HIDRÁULICA (1,2 M3/155 HP), LARG. DE 1,5 M A 2,5 M, EM SOLO DE 1A CATEGORIA, EM LOCAIS COM ALTO NÍVEL DE INTERFERÊNCIA. AF_02/2021</t>
  </si>
  <si>
    <t>ESCORAMENTO DE VALA, TIPO PONTALETEAMENTO, COM PROFUNDIDADE DE 1,5 A 3,0 M, LARGURA MAIOR OU IGUAL A 1,5 M E MENOR QUE 2,5 M. AF_08/2020</t>
  </si>
  <si>
    <t>PREPARO DE FUNDO DE VALA COM LARGURA MAIOR OU IGUAL A 1,5 M E MENOR QUE 2,5 M, COM CAMADA DE AREIA, LANÇAMENTO MECANIZADO. AF_08/2020</t>
  </si>
  <si>
    <t>REATERRO MECANIZADO DE VALA COM ESCAVADEIRA HIDRÁULICA (CAPACIDADE DA CAÇAMBA: 0,8 M³ / POTÊNCIA: 111 HP), LARGURA DE 1,5 A 2,5 M, PROFUNDIDADE DE 1,5 A 3,0 M, COM SOLO DE 1ª CATEGORIA EM LOCAIS COM ALTO NÍVEL DE INTERFERÊNCIA. AF_04/2016</t>
  </si>
  <si>
    <t>TUBO DE CONCRETO PARA REDES COLETORAS DE ÁGUAS PLUVIAIS, DIÂMETRO DE 1000 MM, JUNTA RÍGIDA, INSTALADO EM LOCAL COM ALTO NÍVEL DE INTERFERÊNCIAS - FORNECIMENTO E ASSENTAMENTO. AF_12/2015</t>
  </si>
  <si>
    <t>TUBO DE CONCRETO PARA REDES COLETORAS DE ÁGUAS PLUVIAIS, DIÂMETRO DE 1500 MM, JUNTA RÍGIDA, INSTALADO EM LOCAL COM ALTO NÍVEL DE INTERFERÊNCIAS - FORNECIMENTO E ASSENTAMENTO. AF_12/2015</t>
  </si>
  <si>
    <t>Poço de visita - PVI 04 - areia e brita comerciais</t>
  </si>
  <si>
    <t>Poço de visita - PVI 06 - areia e brita comerciais</t>
  </si>
  <si>
    <t>Dissipador de energia - DEB 07 - areia e pedra de mão comerciais</t>
  </si>
  <si>
    <t>TRANSPORTE COM CAMINHÃO BASCULANTE DE 14 M³, EM VIA URBANA PAVIMENTADA, DMT ATÉ 30 KM (UNIDADE: TXKM). AF_07/2020</t>
  </si>
  <si>
    <t>TRANSPORTE COM CAMINHÃO CARROCERIA COM GUINDAUTO (MUNCK), MOMENTO MÁXIMO DE CARGA
11,7 TM, EM VIA URBANA PAVIMENTADA, DMT ATÉ 30KM (UNIDADE: TXKM). AF_07/2020</t>
  </si>
  <si>
    <t>RESPONSÁVEL TÉCNICO ORÇAMENTISTA</t>
  </si>
  <si>
    <t>CONTRATANTE</t>
  </si>
  <si>
    <t>PREFEITO MUNICIPAL</t>
  </si>
  <si>
    <t>PREFEITURA MUNICIPAL DE INDIAVAÍ</t>
  </si>
  <si>
    <t>VALOR TOTAL:</t>
  </si>
  <si>
    <t>OBSERVAÇÕES:</t>
  </si>
  <si>
    <t>SICRO JAN/2021</t>
  </si>
  <si>
    <t>SINAPI 06/2021</t>
  </si>
  <si>
    <t>Construção de rede de drenagem pluvial</t>
  </si>
  <si>
    <t>Prefeitura Municipal de Indiavaí</t>
  </si>
  <si>
    <t>30 de julho de 2021</t>
  </si>
  <si>
    <t>OBSERVAÇÕES</t>
  </si>
  <si>
    <t>TRECHO</t>
  </si>
  <si>
    <t>T1</t>
  </si>
  <si>
    <t>DIÂMETRO (MM)</t>
  </si>
  <si>
    <t>LARGURA DE ESCAVAÇÃO (M)</t>
  </si>
  <si>
    <t>EXTENSÃO (M)</t>
  </si>
  <si>
    <t>ESP. BERÇO DE AREIA (M)</t>
  </si>
  <si>
    <t>PROFUNDIDADE MON. (M)</t>
  </si>
  <si>
    <t>PROFUNDIDADE JUS. (M)</t>
  </si>
  <si>
    <t>VOL. BERÇO DE AREIA (M³)</t>
  </si>
  <si>
    <t>VOL. ESCAVAÇÃO (M³)</t>
  </si>
  <si>
    <t>VOL. REATERRO (M³)</t>
  </si>
  <si>
    <t>ÁREA ESCORAMENTO (M²)</t>
  </si>
  <si>
    <t>ESP. PAREDE DE TUBO (M)</t>
  </si>
  <si>
    <t>T2</t>
  </si>
  <si>
    <t>T3</t>
  </si>
  <si>
    <t>T4</t>
  </si>
  <si>
    <t>T5</t>
  </si>
  <si>
    <t>T6</t>
  </si>
  <si>
    <t>T7</t>
  </si>
  <si>
    <t>T8</t>
  </si>
  <si>
    <t>T9</t>
  </si>
  <si>
    <t>TOTAIS:</t>
  </si>
  <si>
    <t>CÁLCULO DE VOLUMES TUBOS COLETORES (BL - PV)</t>
  </si>
  <si>
    <t>INCLINAÇÃO (%)</t>
  </si>
  <si>
    <t>PV-1</t>
  </si>
  <si>
    <t>TIPO</t>
  </si>
  <si>
    <t>PVI06</t>
  </si>
  <si>
    <t>PROF. PV (M)</t>
  </si>
  <si>
    <t>COMP. PV (M)</t>
  </si>
  <si>
    <t>LARG. PV (M)</t>
  </si>
  <si>
    <t>PROF. ESCAVAÇÃO PV (M)</t>
  </si>
  <si>
    <t>COMP. ESCAVAÇÃO PV (M)</t>
  </si>
  <si>
    <t>LARG. ESCAVAÇÃO PV (M)</t>
  </si>
  <si>
    <t>ALTURA DE CHAMINÉ (M)</t>
  </si>
  <si>
    <t>PV-2</t>
  </si>
  <si>
    <t>PV-3</t>
  </si>
  <si>
    <t>PV-4</t>
  </si>
  <si>
    <t>PV-5</t>
  </si>
  <si>
    <t>PV-6</t>
  </si>
  <si>
    <t>PV-7</t>
  </si>
  <si>
    <t>PV-8</t>
  </si>
  <si>
    <t>PV-9</t>
  </si>
  <si>
    <t>QUANT. (UNID)</t>
  </si>
  <si>
    <t>PROF. BL (M)</t>
  </si>
  <si>
    <t>COMP. BL (M)</t>
  </si>
  <si>
    <t>LARG. BL (M)</t>
  </si>
  <si>
    <t>BLS01</t>
  </si>
  <si>
    <t>CÁLCULO DE VOLUMES BOCAS DE LOBO</t>
  </si>
  <si>
    <t>CÁLCULO DE VOLUMES POÇOS DE VISITA</t>
  </si>
  <si>
    <t>CÁLCULO DE VOLUMES E ESCORAMENTO - TRECHOS DE DRENAGEM</t>
  </si>
  <si>
    <t xml:space="preserve">PESO ESPECÍFICO (TXUN) </t>
  </si>
  <si>
    <t>PESO TOTAL (T)</t>
  </si>
  <si>
    <t>MOMENTO DE TRANSPORTE (TXKM)</t>
  </si>
  <si>
    <t>TRANSPORTE DE TUBOS</t>
  </si>
  <si>
    <t>VOLUME DE AREIA (M³)</t>
  </si>
  <si>
    <t>PESO ESPECÍFICO (TXM³)</t>
  </si>
  <si>
    <t>TUBOS</t>
  </si>
  <si>
    <t>DISTÂNCIAS MÉDIAS DE TRANSPORTE</t>
  </si>
  <si>
    <t>DIST. (KM)</t>
  </si>
  <si>
    <t>COMP.002</t>
  </si>
  <si>
    <t>SINAPI - ENCARGOS SOCIAIS DESONERADOS: 83,92%(HORA) 48,10%(MÊS)</t>
  </si>
  <si>
    <t>Não desonerado</t>
  </si>
  <si>
    <t>PIS</t>
  </si>
  <si>
    <t xml:space="preserve"> BDI CALCULADO (%)</t>
  </si>
  <si>
    <t>1.4</t>
  </si>
  <si>
    <t>LOCAÇÃO DE REDE DE ÁGUA OU ESGOTO. AF_10/2018</t>
  </si>
  <si>
    <t>DIÂMETRO (M)</t>
  </si>
  <si>
    <t>T10</t>
  </si>
  <si>
    <t>PV-10</t>
  </si>
  <si>
    <t>PVI04</t>
  </si>
  <si>
    <t>txkm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</si>
  <si>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</si>
  <si>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</si>
  <si>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</si>
  <si>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</si>
  <si>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</si>
  <si>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</si>
  <si>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</si>
  <si>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</si>
  <si>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</si>
  <si>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</si>
  <si>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</si>
  <si>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</si>
  <si>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</si>
  <si>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</si>
  <si>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Avenida Governador Jayme Campos</t>
  </si>
  <si>
    <t>UM MILHÃO, TREZENTOS E VINTE E SETE MIL, QUATROCENTOS E VINTE E UM REAIS E NOVENTA E UM CENTAVOS.</t>
  </si>
  <si>
    <t>COTA MON (M)</t>
  </si>
  <si>
    <t>COTA JUS (M)</t>
  </si>
  <si>
    <t>INCLINAÇÃO (M/M)</t>
  </si>
  <si>
    <t>ÁREAS DE CONTRIBUIÇÃO (HA)</t>
  </si>
  <si>
    <t>DADOS</t>
  </si>
  <si>
    <t>C</t>
  </si>
  <si>
    <t>i</t>
  </si>
  <si>
    <t>MANNING</t>
  </si>
  <si>
    <t>Q/Qp</t>
  </si>
  <si>
    <t>y/d</t>
  </si>
  <si>
    <t>v/vp</t>
  </si>
  <si>
    <t>y (M)</t>
  </si>
  <si>
    <t>V PLENA (M/S)</t>
  </si>
  <si>
    <t>V REAL (M/S)</t>
  </si>
  <si>
    <t>VAZÃO PLENA -TUBO (M³/S)</t>
  </si>
  <si>
    <t>TEMPO DE CONCENTRAÇÃO</t>
  </si>
  <si>
    <t>PERÍODO DE RETORNO</t>
  </si>
  <si>
    <t>10 ANOS</t>
  </si>
  <si>
    <t>15 MINUTOS</t>
  </si>
  <si>
    <t>VAZÃO SARJETAS TRECHO (M³/S)</t>
  </si>
  <si>
    <t>VAZÃO SARJETAS ACUM. (M³/S)</t>
  </si>
  <si>
    <t>VERIFICAÇÃO VEL.</t>
  </si>
  <si>
    <t>VERIFICAÇÃO DIMENS.</t>
  </si>
  <si>
    <t>CÁLCULO DE VERIFICAÇÃO DE VAZÕES, VELOCIDADES E DIMENSIONAMENTOS</t>
  </si>
  <si>
    <t>BDI - SERVIÇOS</t>
  </si>
  <si>
    <t>DIÂMETRO CALCULADO (M)</t>
  </si>
  <si>
    <t>DIÂMETRO COMERCIAL (M)</t>
  </si>
  <si>
    <t xml:space="preserve">VERIFICAÇÃO </t>
  </si>
  <si>
    <t>PRÓX. DIÂMETRO COMERCIAL (M)</t>
  </si>
  <si>
    <t>VERIFICAÇÃO</t>
  </si>
  <si>
    <t>-</t>
  </si>
  <si>
    <t>CÁLCULO DE DIMENSIONAMENTO DE TUBOS</t>
  </si>
  <si>
    <t>NÃO HAVERÁ DIMINUIÇÃO DE DIÂMETRO DURANTE O PERCURSO DE REDE.</t>
  </si>
  <si>
    <t>DEVIDO A RISCOS DE ENTUPIMENTO NÃO SERÃO USADOS TUBOS COM DIÂMETROS INFERIORES A 60 CM NAS REDES PRINCIPAIS.</t>
  </si>
  <si>
    <t xml:space="preserve">FÓRMULA: </t>
  </si>
  <si>
    <t>RESPONSÁVEL TÉCNICO ORÇAMENTISTA:</t>
  </si>
  <si>
    <t>CÁLCULO DE QUANTIDADES E TRANSPORTES - DMT ATÉ 30 KM</t>
  </si>
  <si>
    <t>CÁLCULO DE QUANTIDADES E TRANSPORTES - DMT ACIMA DE 30 KM</t>
  </si>
  <si>
    <t xml:space="preserve">DMT ATÉ A CIDADE DE MIRASSOL D'OESTE/MT. </t>
  </si>
  <si>
    <t>BDI - BENEFÍCIOS DE DESPESAS INDIRETAS - SERVIÇO</t>
  </si>
  <si>
    <t>SINAPI - SERVIÇO</t>
  </si>
  <si>
    <t>ADMINISTRAÇÃO LOCAL DE OBRA</t>
  </si>
  <si>
    <t>5.0</t>
  </si>
  <si>
    <t>VALORES TOTAIS</t>
  </si>
  <si>
    <t>PESO</t>
  </si>
  <si>
    <t>COMPOSIÇÕES GERAIS DE ORÇAMENTOS</t>
  </si>
  <si>
    <t>MESTRE DE OBRAS COM ENCARGOS COMPLEMENTARES</t>
  </si>
  <si>
    <t>ENGENHEIRO CIVIL DE OBRA JUNIOR COM ENCARGOS COMPLEMENTARES</t>
  </si>
  <si>
    <t>BOLETIM</t>
  </si>
  <si>
    <t>30 DIAS</t>
  </si>
  <si>
    <t>60 DIAS</t>
  </si>
  <si>
    <t xml:space="preserve">CRONOGRAMA FÍSICO FINANCEIRO </t>
  </si>
  <si>
    <t>ADMINISTRAÇÃO DE OBRA</t>
  </si>
  <si>
    <t xml:space="preserve">RESUMO ORÇAMENTO </t>
  </si>
  <si>
    <t>Itens relativos à Administração da Obra</t>
  </si>
  <si>
    <t>DF - CUSTOS FINANCEIROS</t>
  </si>
  <si>
    <t>AC - ADMINISTRAÇÃO CENTRAL</t>
  </si>
  <si>
    <t>S - SEGUROS E GARANTIAS</t>
  </si>
  <si>
    <t>Sub-total</t>
  </si>
  <si>
    <t>Lucro</t>
  </si>
  <si>
    <t>L - Lucro/Remuneração</t>
  </si>
  <si>
    <t>I - Taxas e Impostos</t>
  </si>
  <si>
    <t>COFINS</t>
  </si>
  <si>
    <t>ISSQN</t>
  </si>
  <si>
    <t>R - RISCOS</t>
  </si>
  <si>
    <t>EXECUÇÃO DE PASSEIO (CALÇADA) OU PISO DE CONCRETO COM CONCRETO MOLDADO IN LOCO, FEITO EM OBRA, ACABAMENTO CONVENCIONAL, NÃO ARMADO. AF_08/2022</t>
  </si>
  <si>
    <t>BDI CALCULADO CONFORME ACÓRDÃO Nº 2623/2013 - TCU.</t>
  </si>
  <si>
    <t>FORNECIMENTO E INSTALAÇÃO DE PLACA DE OBRA COM CHAPA GALVANIZADA E ESTRUTURA DE MADEIRA. AF_03/2022_PS</t>
  </si>
  <si>
    <t>ORSE - SERVIÇO</t>
  </si>
  <si>
    <t xml:space="preserve">QUADRO DISTRIBUIÇÃO </t>
  </si>
  <si>
    <t>DISJUNTOR TRIPOLAR TIPO DIN, CORRENTE NOMINAL DE 16A - FORNECIMENTO E INSTALAÇÃO. AF_10/2020</t>
  </si>
  <si>
    <t>DISJUNTOR MONOPOLAR TIPO DIN, CORRENTE NOMINAL DE 10A - FORNECIMENTO E INSTALAÇÃO. AF_10/2020</t>
  </si>
  <si>
    <t>CAIXA ENTERRADA ELÉTRICA RETANGULAR, EM ALVENARIA COM TIJOLOS CERÂMICO S MACIÇOS, FUNDO COM BRITA, DIMENSÕES INTERNAS: 0,3X0,3X0,3 M. AF_12/2020</t>
  </si>
  <si>
    <t xml:space="preserve">PONTOS DE ENERGIA </t>
  </si>
  <si>
    <t>10.50</t>
  </si>
  <si>
    <t>MEMÓRIA DE CÁLCULO - CONSTRUÇÕES</t>
  </si>
  <si>
    <t>LOCAL</t>
  </si>
  <si>
    <t>ÁREAS</t>
  </si>
  <si>
    <t>TOTAL (M²)</t>
  </si>
  <si>
    <t>QUADRO DE DISTRIBUIÇÃO DE ENERGIA EM CHAPA DE AÇO GALVANIZADO, DE EMBUTIR, COM BARRAMENTO TRIFÁSICO, PARA 24 DISJUNTORES DIN 100A - FORNECIMENTO E INSTALAÇÃO. AF_10/2020</t>
  </si>
  <si>
    <t>CABO DE COBRE FLEXÍVEL ISOLADO, 10 MM², ANTI-CHAMA 450/750 V, PARA CIRCUITOS TERMINAIS - FORNECIMENTO E INSTALAÇÃO. AF_03/2023</t>
  </si>
  <si>
    <t>CABO DE COBRE FLEXÍVEL ISOLADO, 4 MM², ANTI-CHAMA 450/750 V, PARA CIRCUITOS TERMINAIS - FORNECIMENTO E INSTALAÇÃO. AF_03/2023</t>
  </si>
  <si>
    <t>CABO DE COBRE FLEXÍVEL ISOLADO, 2,5 MM², ANTI-CHAMA 450/750 V, PARA CIUITOS TERMINAIS - FORNECIMENTO E INSTALAÇÃO. AF_03/2023</t>
  </si>
  <si>
    <t>CABO DE COBRE FLEXÍVEL ISOLADO, 1,5 MM², ANTI-CHAMA 450/750 V, PARA CIUITOS TERMINAIS - FORNECIMENTO E INSTALAÇÃO. AF_03/2023</t>
  </si>
  <si>
    <t>11.2</t>
  </si>
  <si>
    <t>11.3</t>
  </si>
  <si>
    <t>ELETRODUTO FLEXÍVEL CORRUGADO, PVC, DN 32 MM (1"), PARA CIRCUITOS TERMINAIS, INSTALADO EM FORRO - FORNECIMENTO E INSTALAÇÃO. AF_03/2023</t>
  </si>
  <si>
    <t>ELETRODUTO FLEXÍVEL CORRUGADO, PVC, DN 25 MM (3/4"), PARA CIRCUITOS TERMINAIS, INSTALADO EM FORRO - FORNECIMENTO E INSTALAÇÃO. AF_03/2023</t>
  </si>
  <si>
    <t>ELETRODUTO RÍGIDO ROSCÁVEL, PVC, DN 85 MM (3"), PARA REDE ENTERRADA DE DISTRIBUIÇÃO DE ENERGIA ELÉTRICA - FORNECIMENTO E INSTALAÇÃO. AF_12/2021</t>
  </si>
  <si>
    <t>11.4</t>
  </si>
  <si>
    <t>11.5</t>
  </si>
  <si>
    <t>11.6</t>
  </si>
  <si>
    <t>11.7</t>
  </si>
  <si>
    <t>11.8</t>
  </si>
  <si>
    <t>11.11</t>
  </si>
  <si>
    <t>11.12</t>
  </si>
  <si>
    <t>CAIXA RETANGULAR 4" X 2" BAIXA (0,30 M DO PISO), PVC, INSTALADA EM PAREDE - FORNECIMENTO E INSTALAÇÃO. AF_03/2023</t>
  </si>
  <si>
    <t>CAIXA OCTOGONAL 3" X 3", PVC, INSTALADA EM LAJE - FORNECIMENTO E INSTALAÇÃO. AF_03/2023</t>
  </si>
  <si>
    <t>INTERRUPTOR SIMPLES (1 MÓDULO) COM 1 TOMADA DE EMBUTIR 2P+T 10 A, INCLUINDO SUPORTE E PLACA - FORNECIMENTO E INSTALAÇÃO.AF_03/2023</t>
  </si>
  <si>
    <t>INTERRUPTOR SIMPLES (3 MÓDULOS), 10A/250V, INCLUINDO SUPORTE E PLACA - FORNECIMENTO E INSTALAÇÃO. AF_03/2023</t>
  </si>
  <si>
    <t>TOMADA BAIXA DE EMBUTIR (1 MÓDULO), 2P+T 10 A, INCLUINDO SUPORTE E PLACA - FORNECIMENTO E INSTALAÇÃO. 03/2023</t>
  </si>
  <si>
    <t>INTERRUPTOR SIMPLES (1 MÓDULO), 10A/250V, INCLUINDO SUPORTE E PLACA - FORNECIMENTO E INSTALAÇÃO. AF_03/2023</t>
  </si>
  <si>
    <t>COMP.006</t>
  </si>
  <si>
    <t>10352/ORSE</t>
  </si>
  <si>
    <t xml:space="preserve"> LUMINÁRIA SOBREPOR QUADRADA LED 40W, 6500K - LEDVANCE OU SIMILAR </t>
  </si>
  <si>
    <t>LUMINÁRIA TIPO SPOT DE EMBUTIR COM LÂMPADA LED 15W</t>
  </si>
  <si>
    <t>12807/ORSE</t>
  </si>
  <si>
    <t>REFLETOR SLIM LED 50W DE POTÊNCIA, BRANCO FRIO, 6500K, AUTOVOLT, MARCA G-LIGHT OU SIMILAR</t>
  </si>
  <si>
    <t>COMP.007</t>
  </si>
  <si>
    <t>FITA LED 5W/M, BRANCO QUENTE - INCLUSO FONTE AUTOMATICA</t>
  </si>
  <si>
    <t>11.13</t>
  </si>
  <si>
    <t>11.18</t>
  </si>
  <si>
    <t>11.14</t>
  </si>
  <si>
    <t>11.15</t>
  </si>
  <si>
    <t>11.16</t>
  </si>
  <si>
    <t>11.17</t>
  </si>
  <si>
    <t>11.19</t>
  </si>
  <si>
    <t>11.20</t>
  </si>
  <si>
    <t>11.21</t>
  </si>
  <si>
    <t>11.22</t>
  </si>
  <si>
    <t>OBRA</t>
  </si>
  <si>
    <t>CAIXA ENTERRADA HIDRÁULICA RETANGULAR EM ALVENARIA COM TIJOLOS CERÂMICOS MACIÇOS, DIMENSÕES INTERNAS: 0,6X0,6X0,6 M PARA REDE DE DRENAGEM. AF_12/2020</t>
  </si>
  <si>
    <t>TUBO PVC, SÉRIE R, ÁGUA PLUVIAL, DN 100 MM, FORNECIDO E INSTALADO EM RAMAL DE ENCAMINHAMENTO. AF_06/2022</t>
  </si>
  <si>
    <t>10.51</t>
  </si>
  <si>
    <t>TUBO, PVC, SOLDÁVEL, DN 25MM, INSTALADO EM DRENO DE AR-CONDICIONADO -FORNECIMENTO E INSTALAÇÃO. AF_08/2022</t>
  </si>
  <si>
    <t>PLUVIAL E DRENO AR CONDICIONADO</t>
  </si>
  <si>
    <t>JOELHO 90 GRAUS, PVC, SOLDÁVEL, DN 25MM, INSTALADO EM DRENO DE AR-CONDICIONADO - FORNECIMENTO E INSTALAÇÃO. AF_08/2022</t>
  </si>
  <si>
    <t>10.52</t>
  </si>
  <si>
    <t>10.53</t>
  </si>
  <si>
    <t>PLACA DE OBRA - DIMENSÃO 2,50 M X 1,25 M</t>
  </si>
  <si>
    <t>4.1</t>
  </si>
  <si>
    <t>VOLUME</t>
  </si>
  <si>
    <t>Engenheiro: 1 horas x 1 Dias x 4 Semanas x 2 Meses = 8h</t>
  </si>
  <si>
    <t>Mestre de Obras: 2 horas x 3 Dias x 4 Semanas x 2 Meses = 80h</t>
  </si>
  <si>
    <t>CONSTRUÇÃO DE MURO</t>
  </si>
  <si>
    <t>ALVENARIA</t>
  </si>
  <si>
    <t>REVESTIMENTOS E PINTURAS</t>
  </si>
  <si>
    <t>APLICAÇÃO MANUAL DE FUNDO SELADOR ACRÍLICO EM PANOS CEGOS DE FACHADA (SEM PRESENÇA DE VÃOS) DE EDIFÍCIOS DE MÚLTIPLOS PAVIMENTOS. AF_03/2024</t>
  </si>
  <si>
    <t>CALÇADA</t>
  </si>
  <si>
    <t>MURO - CONSTRUÇÃO</t>
  </si>
  <si>
    <t>4.2</t>
  </si>
  <si>
    <t>4.3</t>
  </si>
  <si>
    <t>4.4</t>
  </si>
  <si>
    <t>4.1, 4.2, 4.3, 4.4</t>
  </si>
  <si>
    <t>CHAPISCO, EMBOÇO, APLICAÇÃO DE SELADOR E PINTURA</t>
  </si>
  <si>
    <t>ESCAVAÇÃO MANUAL PARA BLOCO DE COROAMENTO OU SAPATA (INCLUINDO ESCAVAÇÃO PARA COLOCAÇÃO DE FÔRMAS).AF_06/2017</t>
  </si>
  <si>
    <t>ESCAVAÇÃO MANUAL DE VALA PARA VIGA BALDRAME (INCLUINDO ESCAVAÇÃO PARA COLOCAÇÃO DE FÔRMAS). AF_06/2017</t>
  </si>
  <si>
    <t>3.7</t>
  </si>
  <si>
    <t>ARMAÇÃO DE BLOCO, VIGA BALDRAME E SAPATA UTILIZANDO AÇO CA-60 DE 5 MM - MONTAGEM. AF_06/2017</t>
  </si>
  <si>
    <t>kg</t>
  </si>
  <si>
    <t>3.8</t>
  </si>
  <si>
    <t>ARMAÇÃO DE BLOCO, VIGA BALDRAME OU SAPATA UTILIZANDO AÇO CA-50 DE 8 MM - MONTAGEM. AF_06/2017</t>
  </si>
  <si>
    <t>3.9</t>
  </si>
  <si>
    <t>CONCRETAGEM DE BLOCO DE COROAMENTO OU VIGA BALDRAME, FCK 30 MPA, COM USO DE JERICA - LANÇAMENTO, ADENSAMENTO E ACABAMENTO. AF_01/2024</t>
  </si>
  <si>
    <t>FUNDAÇÃO E BALDRAME</t>
  </si>
  <si>
    <t>3.13</t>
  </si>
  <si>
    <t>MONTAGEM E DESMONTAGEM DE FÔRMA DE PILARES RETANGULARES E ESTRUTURAS SIMILARES, PÉ-DIREITO SIMPLES, EM CHAPA DE MADEIRA COMPENSADA RESINADA, 4 UTILIZAÇÕES. AF_09/2020</t>
  </si>
  <si>
    <t>3.14</t>
  </si>
  <si>
    <t>ARMAÇÃO DE PILAR OU VIGA DE ESTRUTURA CONVENCIONAL DE CONCRETO ARMADO UTILIZANDO AÇO CA-60 DE 5,0 MM - MONTAGEM. AF_06/2022</t>
  </si>
  <si>
    <t>ARMAÇÃO DE PILAR OU VIGA DE ESTRUTURA CONVENCIONAL DE CONCRETO ARMADO UTILIZANDO AÇO CA-50 DE 8,0 MM -MONTAGEM. AF_06/2022</t>
  </si>
  <si>
    <t>ARMAÇÃO DE PILAR OU VIGA DE ESTRUTURA CONVENCIONAL DE CONCRETO ARMADO UTILIZANDO AÇO CA-50 DE 10,0 MM -MONTAGEM. AF_06/2022</t>
  </si>
  <si>
    <t>CONCRETAGEM DE PILARES, FCK = 25 MPA, COM USO DE BOMBA - LANÇAMENTO, ADENSAMENTO E ACABAMENTO. AF_02/2022</t>
  </si>
  <si>
    <t>CONCRETAGEM DE VIGAS E LAJES, FCK=25 MPA, PARA LAJES PREMOLDADAS COM USO DE BOMBA - LANÇAMENTO, ADENSAMENTO E ACABAMENTO. AF_02/2022</t>
  </si>
  <si>
    <t>SUPERESTRUTURA</t>
  </si>
  <si>
    <t>3.3</t>
  </si>
  <si>
    <t>3.10</t>
  </si>
  <si>
    <t>3.11</t>
  </si>
  <si>
    <t>3.12</t>
  </si>
  <si>
    <t>(((48*7+63*3)+(55*2+20*5+20*7+64*2)+(60*4+10*15+60*4+20*14))-45*2,8)*2</t>
  </si>
  <si>
    <t>PINTURA LÁTEX ACRÍLICA ECONÔMICA, APLICAÇÃO MANUAL EM PAREDES, DUAS DEMÃOS. AF_04/2023</t>
  </si>
  <si>
    <t>CHAPISCO APLICADO EM ALVENARIA (SEM PRESENÇA DE VÃOS) E ESTRUTURAS DE CONCRETO DE FACHADA, COM EQUIPAMENTO DE PROJEÇÃO. ARGAMASSA TRAÇO 1:3 COM PREPARO EM BETONEIRA 400 L. AF_10/2022</t>
  </si>
  <si>
    <t>EMBOÇO OU MASSA ÚNICA EM ARGAMASSA TRAÇO 1:2:8, PREPARO MECÂNICA COM BETONEIRA 400 L, APLICADA MANUALMENTE EM PANOS DE FACHADA SEM PRESENÇA DE VÃOS, ESPESSURA DE 25 MM, ACESSO POR ANDAIME. AF_08/2022</t>
  </si>
  <si>
    <t>((90,31+2,51+61+2,51+90,31+2,51+61+2,51)+(89,5+2,36+65,1+2,36+20,6)+(49,2+64,2+49,2+64+2,36*4))*2*0,06</t>
  </si>
  <si>
    <t>ALVENARIA DE VEDAÇÃO DE BLOCOS CERÂMICOS FURADOS NA VERTICAL DE 11,5X19X39 CM (ESPESSURA 11,5CM) E ARGAMASSA DE ASSENTAMENTO COM PREPARO EM BETONEIRA. AF_12/2021</t>
  </si>
  <si>
    <t>(((48*7+63*3)+(55*2+20*5+20*7+64*2)+(60*4+10*15+60*4+20*14))-45*2,8)*0,17*0,35</t>
  </si>
  <si>
    <t>(((48*7+63*3)+(55*2+20*5+20*7+64*2)+(60*4+10*15+60*4+20*14))-45*2,8)*0,14*0,30</t>
  </si>
  <si>
    <t>(((((48*7+63*3)+(55*2+20*5+20*7+64*2)+(60*4+10*15+60*4+20*14))-45*2,8)/0,25)*0,75)*0,154</t>
  </si>
  <si>
    <t>((((((48*7+63*3)+(55*2+20*5+20*7+64*2)+(60*4+10*15+60*4+20*14))-45*2,8)/3)*,25*2)/4)</t>
  </si>
  <si>
    <t>((((((48*7+63*3)+(55*2+20*5+20*7+64*2)+(60*4+10*15+60*4+20*14))-45*2,8)/3)*4)*0,617)</t>
  </si>
  <si>
    <t>(((((48*7+63*3)+(55*2+20*5+20*7+64*2)+(60*4+10*15+60*4+20*14))-45*2,8)/3)*0,15*0,3)</t>
  </si>
  <si>
    <t>((((((48*7+63*3)+(55*2+20*5+20*7+64*2)+(60*4+10*15+60*4+20*14))-45*2,8)/3)*0,5*0,5)*0,25)</t>
  </si>
  <si>
    <t>((((48*7+63*3)+(55*2+20*5+20*7+64*2)+(60*4+10*15+60*4+20*14))-45*2,8)*4)*0,395</t>
  </si>
  <si>
    <t>MONTAGEM E DESMONTAGEM DE FÔRMA DE VIGA, ESCORAMENTO COM PONTALETE DE MADEIRA, PÉ-DIREITO SIMPLES, EM MADEIRA SERRADA, 4 UTILIZAÇÕES. AF_09/2020</t>
  </si>
  <si>
    <t>TOTAL (KG)</t>
  </si>
  <si>
    <t>TOTAL (M³)</t>
  </si>
  <si>
    <t>((((((48*7+63*3)+(55*2+20*5+20*7+64*2)+(60*4+10*15+60*4+20*14))-45*2,8))*2*0,3)/4)</t>
  </si>
  <si>
    <t>((((((48*7+63*3)+(55*2+20*5+20*7+64*2)+(60*4+10*15+60*4+20*14))-45*2,8))*4)*0,395)</t>
  </si>
  <si>
    <t>(((((48*7+63*3)+(55*2+20*5+20*7+64*2)+(60*4+10*15+60*4+20*14))-45*2,8))*0,15*0,3)</t>
  </si>
  <si>
    <t>((((((48*7+63*3)+(55*2+20*5+20*7+64*2)+(60*4+10*15+60*4+20*14))-45*2,8)/3/0,3)*0,75)*0,154)+(((((((48*7+63*3)+(55*2+20*5+20*7+64*2)+(60*4+10*15+60*4+20*14))-45*2,8))/,3)*0,75)*0,154)</t>
  </si>
  <si>
    <t>5.1</t>
  </si>
  <si>
    <t>Construção de muros e calçadas em casas populares</t>
  </si>
  <si>
    <t>Prefeitura Municipal de Araputanga</t>
  </si>
  <si>
    <t>PREFEITURA MUNICIPAL DE ARAPUTANGA</t>
  </si>
  <si>
    <t>SINAPI 07/2025</t>
  </si>
  <si>
    <t xml:space="preserve">ISS MUNICIPAL: 5% SOBRE 100% DA NOTA FISCAL EMITIDA. </t>
  </si>
  <si>
    <t>Quadra 14 e 04, Loteamento carvalho e Quadra 26 Loteamento Vilage, Araputanga-MT.</t>
  </si>
  <si>
    <t>Um milhão, quatrocentos e quarenta e sete mil, oitocentos e oitenta e quatro reais e um centavo</t>
  </si>
  <si>
    <t>ENG. CIVIL - CREA Nº 64045506/SP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</si>
</sst>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R$&quot;\ #,##0.00"/>
    <numFmt numFmtId="165" formatCode="#,##0.000000"/>
    <numFmt numFmtId="166" formatCode="#,##0.0000"/>
    <numFmt numFmtId="167" formatCode="#,##0.000"/>
    <numFmt numFmtId="168" formatCode="0.0000000000%"/>
  </numFmts>
  <fonts count="23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11"/>
      <name val="Arial"/>
      <family val="1"/>
    </font>
    <font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4DA56"/>
        <bgColor rgb="FFE4DA56"/>
      </patternFill>
    </fill>
    <fill>
      <patternFill patternType="solid">
        <fgColor rgb="FFC4BD97"/>
        <bgColor rgb="FFC4BD97"/>
      </patternFill>
    </fill>
    <fill>
      <patternFill patternType="solid">
        <fgColor rgb="FFF1F197"/>
        <bgColor rgb="FFF1F197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C4BD97"/>
      </patternFill>
    </fill>
    <fill>
      <patternFill patternType="solid">
        <fgColor theme="0"/>
        <bgColor rgb="FFE4DA56"/>
      </patternFill>
    </fill>
    <fill>
      <patternFill patternType="solid">
        <fgColor rgb="FFE4DA56"/>
        <bgColor rgb="FFC4BD97"/>
      </patternFill>
    </fill>
    <fill>
      <patternFill patternType="solid">
        <fgColor rgb="FFE4DA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rgb="FFF1F197"/>
      </patternFill>
    </fill>
  </fills>
  <borders count="16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0" fontId="12" fillId="0" borderId="18"/>
    <xf numFmtId="0" fontId="18" fillId="0" borderId="18"/>
    <xf numFmtId="0" fontId="11" fillId="0" borderId="18"/>
    <xf numFmtId="0" fontId="12" fillId="0" borderId="18"/>
    <xf numFmtId="0" fontId="12" fillId="0" borderId="18"/>
    <xf numFmtId="0" fontId="1" fillId="0" borderId="18"/>
    <xf numFmtId="0" fontId="21" fillId="0" borderId="18"/>
    <xf numFmtId="9" fontId="1" fillId="0" borderId="18" applyFont="0" applyFill="0" applyBorder="0" applyAlignment="0" applyProtection="0"/>
    <xf numFmtId="9" fontId="22" fillId="0" borderId="0" applyFont="0" applyFill="0" applyBorder="0" applyAlignment="0" applyProtection="0"/>
    <xf numFmtId="0" fontId="11" fillId="0" borderId="18"/>
  </cellStyleXfs>
  <cellXfs count="578"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9" xfId="0" applyFill="1" applyBorder="1"/>
    <xf numFmtId="14" fontId="3" fillId="2" borderId="13" xfId="0" applyNumberFormat="1" applyFont="1" applyFill="1" applyBorder="1"/>
    <xf numFmtId="0" fontId="4" fillId="4" borderId="20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4" fontId="0" fillId="0" borderId="28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164" fontId="0" fillId="0" borderId="30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31" xfId="0" applyFont="1" applyBorder="1"/>
    <xf numFmtId="0" fontId="4" fillId="2" borderId="32" xfId="0" applyFont="1" applyFill="1" applyBorder="1"/>
    <xf numFmtId="0" fontId="4" fillId="4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3" borderId="38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left" vertical="center"/>
    </xf>
    <xf numFmtId="4" fontId="4" fillId="3" borderId="38" xfId="0" applyNumberFormat="1" applyFont="1" applyFill="1" applyBorder="1" applyAlignment="1">
      <alignment horizontal="center" vertical="center"/>
    </xf>
    <xf numFmtId="4" fontId="4" fillId="3" borderId="39" xfId="0" applyNumberFormat="1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31" xfId="0" applyBorder="1" applyAlignment="1">
      <alignment horizontal="left" vertical="center" wrapText="1"/>
    </xf>
    <xf numFmtId="4" fontId="0" fillId="0" borderId="31" xfId="0" applyNumberFormat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left" vertical="center" wrapText="1"/>
    </xf>
    <xf numFmtId="4" fontId="4" fillId="3" borderId="31" xfId="0" applyNumberFormat="1" applyFont="1" applyFill="1" applyBorder="1" applyAlignment="1">
      <alignment horizontal="center" vertical="center" wrapText="1"/>
    </xf>
    <xf numFmtId="4" fontId="4" fillId="3" borderId="40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5" borderId="31" xfId="0" applyFont="1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left" vertical="center" wrapText="1"/>
    </xf>
    <xf numFmtId="4" fontId="4" fillId="5" borderId="31" xfId="0" applyNumberFormat="1" applyFont="1" applyFill="1" applyBorder="1" applyAlignment="1">
      <alignment horizontal="center" vertical="center" wrapText="1"/>
    </xf>
    <xf numFmtId="4" fontId="4" fillId="5" borderId="40" xfId="0" applyNumberFormat="1" applyFont="1" applyFill="1" applyBorder="1" applyAlignment="1">
      <alignment horizontal="center" vertical="center"/>
    </xf>
    <xf numFmtId="0" fontId="5" fillId="0" borderId="0" xfId="0" applyFont="1"/>
    <xf numFmtId="0" fontId="3" fillId="2" borderId="13" xfId="0" applyFont="1" applyFill="1" applyBorder="1"/>
    <xf numFmtId="0" fontId="6" fillId="0" borderId="0" xfId="0" applyFont="1"/>
    <xf numFmtId="0" fontId="7" fillId="0" borderId="0" xfId="0" applyFont="1"/>
    <xf numFmtId="0" fontId="0" fillId="2" borderId="31" xfId="0" applyFill="1" applyBorder="1"/>
    <xf numFmtId="0" fontId="0" fillId="2" borderId="13" xfId="0" applyFill="1" applyBorder="1"/>
    <xf numFmtId="14" fontId="0" fillId="2" borderId="13" xfId="0" applyNumberFormat="1" applyFill="1" applyBorder="1" applyAlignment="1">
      <alignment horizontal="left" vertical="center"/>
    </xf>
    <xf numFmtId="0" fontId="8" fillId="2" borderId="44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4" fontId="8" fillId="2" borderId="44" xfId="0" applyNumberFormat="1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4" fontId="9" fillId="2" borderId="31" xfId="0" applyNumberFormat="1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left" vertical="center" wrapText="1"/>
    </xf>
    <xf numFmtId="4" fontId="9" fillId="2" borderId="36" xfId="0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0" fontId="0" fillId="2" borderId="13" xfId="0" applyFill="1" applyBorder="1" applyAlignment="1">
      <alignment horizontal="center"/>
    </xf>
    <xf numFmtId="0" fontId="0" fillId="0" borderId="31" xfId="0" applyBorder="1"/>
    <xf numFmtId="0" fontId="0" fillId="2" borderId="32" xfId="0" applyFill="1" applyBorder="1"/>
    <xf numFmtId="0" fontId="4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2" fontId="0" fillId="0" borderId="31" xfId="0" applyNumberFormat="1" applyBorder="1" applyAlignment="1">
      <alignment horizontal="center" vertical="center"/>
    </xf>
    <xf numFmtId="4" fontId="4" fillId="0" borderId="31" xfId="0" applyNumberFormat="1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4" fontId="4" fillId="0" borderId="52" xfId="0" applyNumberFormat="1" applyFont="1" applyBorder="1" applyAlignment="1">
      <alignment horizontal="center" vertical="center"/>
    </xf>
    <xf numFmtId="2" fontId="0" fillId="0" borderId="52" xfId="0" applyNumberFormat="1" applyBorder="1" applyAlignment="1">
      <alignment horizontal="center" vertical="center"/>
    </xf>
    <xf numFmtId="4" fontId="0" fillId="0" borderId="52" xfId="0" applyNumberFormat="1" applyBorder="1"/>
    <xf numFmtId="4" fontId="0" fillId="0" borderId="52" xfId="0" applyNumberFormat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4" fontId="4" fillId="3" borderId="52" xfId="0" applyNumberFormat="1" applyFont="1" applyFill="1" applyBorder="1" applyAlignment="1">
      <alignment horizontal="center" vertical="center"/>
    </xf>
    <xf numFmtId="2" fontId="4" fillId="3" borderId="52" xfId="0" applyNumberFormat="1" applyFont="1" applyFill="1" applyBorder="1" applyAlignment="1">
      <alignment horizontal="center" vertical="center"/>
    </xf>
    <xf numFmtId="4" fontId="4" fillId="3" borderId="52" xfId="0" applyNumberFormat="1" applyFont="1" applyFill="1" applyBorder="1"/>
    <xf numFmtId="4" fontId="4" fillId="3" borderId="53" xfId="0" applyNumberFormat="1" applyFont="1" applyFill="1" applyBorder="1" applyAlignment="1">
      <alignment horizontal="center" vertical="center"/>
    </xf>
    <xf numFmtId="4" fontId="4" fillId="3" borderId="52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4" fillId="0" borderId="3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 wrapText="1"/>
    </xf>
    <xf numFmtId="4" fontId="4" fillId="0" borderId="31" xfId="0" applyNumberFormat="1" applyFont="1" applyBorder="1" applyAlignment="1">
      <alignment horizontal="center" vertical="center" wrapText="1"/>
    </xf>
    <xf numFmtId="4" fontId="4" fillId="0" borderId="40" xfId="0" applyNumberFormat="1" applyFont="1" applyBorder="1" applyAlignment="1">
      <alignment horizontal="center" vertical="center"/>
    </xf>
    <xf numFmtId="0" fontId="11" fillId="0" borderId="31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center" vertical="center" wrapText="1"/>
    </xf>
    <xf numFmtId="165" fontId="9" fillId="2" borderId="31" xfId="0" applyNumberFormat="1" applyFont="1" applyFill="1" applyBorder="1" applyAlignment="1">
      <alignment horizontal="center" vertical="center" wrapText="1"/>
    </xf>
    <xf numFmtId="165" fontId="9" fillId="2" borderId="36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/>
    <xf numFmtId="4" fontId="4" fillId="3" borderId="32" xfId="0" applyNumberFormat="1" applyFont="1" applyFill="1" applyBorder="1" applyAlignment="1">
      <alignment horizontal="center"/>
    </xf>
    <xf numFmtId="0" fontId="4" fillId="0" borderId="82" xfId="0" applyFont="1" applyBorder="1" applyAlignment="1">
      <alignment horizontal="center"/>
    </xf>
    <xf numFmtId="10" fontId="4" fillId="2" borderId="83" xfId="0" applyNumberFormat="1" applyFont="1" applyFill="1" applyBorder="1" applyAlignment="1">
      <alignment horizontal="center"/>
    </xf>
    <xf numFmtId="0" fontId="0" fillId="0" borderId="18" xfId="0" applyBorder="1"/>
    <xf numFmtId="0" fontId="11" fillId="0" borderId="18" xfId="0" applyFont="1" applyBorder="1" applyAlignment="1">
      <alignment horizontal="center" vertical="center"/>
    </xf>
    <xf numFmtId="0" fontId="0" fillId="0" borderId="99" xfId="0" applyBorder="1" applyAlignment="1">
      <alignment horizontal="center"/>
    </xf>
    <xf numFmtId="0" fontId="11" fillId="0" borderId="100" xfId="0" applyFont="1" applyBorder="1" applyAlignment="1">
      <alignment horizontal="center" vertical="center"/>
    </xf>
    <xf numFmtId="0" fontId="11" fillId="0" borderId="98" xfId="0" applyFont="1" applyBorder="1" applyAlignment="1">
      <alignment horizontal="center" vertical="center"/>
    </xf>
    <xf numFmtId="0" fontId="0" fillId="0" borderId="99" xfId="0" applyBorder="1"/>
    <xf numFmtId="0" fontId="4" fillId="0" borderId="69" xfId="0" applyFont="1" applyBorder="1" applyAlignment="1">
      <alignment horizontal="center" vertical="center"/>
    </xf>
    <xf numFmtId="0" fontId="4" fillId="0" borderId="67" xfId="0" applyFont="1" applyBorder="1" applyAlignment="1">
      <alignment vertical="center"/>
    </xf>
    <xf numFmtId="0" fontId="0" fillId="3" borderId="74" xfId="0" applyFill="1" applyBorder="1"/>
    <xf numFmtId="0" fontId="13" fillId="0" borderId="65" xfId="0" applyFont="1" applyBorder="1" applyAlignment="1">
      <alignment horizontal="center"/>
    </xf>
    <xf numFmtId="164" fontId="4" fillId="3" borderId="110" xfId="0" applyNumberFormat="1" applyFont="1" applyFill="1" applyBorder="1" applyAlignment="1">
      <alignment horizontal="center"/>
    </xf>
    <xf numFmtId="0" fontId="13" fillId="0" borderId="68" xfId="0" applyFont="1" applyBorder="1" applyAlignment="1">
      <alignment horizontal="center" vertical="center"/>
    </xf>
    <xf numFmtId="4" fontId="4" fillId="3" borderId="111" xfId="0" applyNumberFormat="1" applyFont="1" applyFill="1" applyBorder="1" applyAlignment="1">
      <alignment horizontal="center"/>
    </xf>
    <xf numFmtId="0" fontId="11" fillId="0" borderId="18" xfId="0" applyFont="1" applyBorder="1"/>
    <xf numFmtId="0" fontId="11" fillId="0" borderId="51" xfId="0" applyFont="1" applyBorder="1" applyAlignment="1">
      <alignment horizontal="center" vertical="center"/>
    </xf>
    <xf numFmtId="4" fontId="11" fillId="0" borderId="51" xfId="0" applyNumberFormat="1" applyFont="1" applyBorder="1" applyAlignment="1">
      <alignment horizontal="center" vertical="center"/>
    </xf>
    <xf numFmtId="4" fontId="11" fillId="0" borderId="18" xfId="0" applyNumberFormat="1" applyFont="1" applyBorder="1" applyAlignment="1">
      <alignment horizontal="center" vertical="center"/>
    </xf>
    <xf numFmtId="0" fontId="11" fillId="0" borderId="119" xfId="0" applyFont="1" applyBorder="1" applyAlignment="1">
      <alignment horizontal="center" vertical="center"/>
    </xf>
    <xf numFmtId="4" fontId="11" fillId="0" borderId="120" xfId="0" applyNumberFormat="1" applyFont="1" applyBorder="1" applyAlignment="1">
      <alignment horizontal="center" vertical="center"/>
    </xf>
    <xf numFmtId="4" fontId="4" fillId="3" borderId="122" xfId="0" applyNumberFormat="1" applyFont="1" applyFill="1" applyBorder="1" applyAlignment="1">
      <alignment horizontal="center"/>
    </xf>
    <xf numFmtId="4" fontId="4" fillId="6" borderId="51" xfId="0" applyNumberFormat="1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vertical="center"/>
    </xf>
    <xf numFmtId="4" fontId="11" fillId="0" borderId="65" xfId="0" applyNumberFormat="1" applyFont="1" applyBorder="1" applyAlignment="1">
      <alignment horizontal="center" vertical="center"/>
    </xf>
    <xf numFmtId="4" fontId="11" fillId="0" borderId="66" xfId="0" applyNumberFormat="1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4" fontId="11" fillId="0" borderId="68" xfId="0" applyNumberFormat="1" applyFont="1" applyBorder="1" applyAlignment="1">
      <alignment horizontal="center" vertical="center"/>
    </xf>
    <xf numFmtId="4" fontId="11" fillId="0" borderId="69" xfId="0" applyNumberFormat="1" applyFont="1" applyBorder="1" applyAlignment="1">
      <alignment horizontal="center" vertical="center"/>
    </xf>
    <xf numFmtId="4" fontId="11" fillId="0" borderId="67" xfId="0" applyNumberFormat="1" applyFont="1" applyBorder="1" applyAlignment="1">
      <alignment horizontal="center" vertical="center"/>
    </xf>
    <xf numFmtId="0" fontId="16" fillId="0" borderId="64" xfId="0" applyFont="1" applyBorder="1" applyAlignment="1">
      <alignment horizontal="center" vertical="center"/>
    </xf>
    <xf numFmtId="0" fontId="16" fillId="0" borderId="66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7" fillId="0" borderId="67" xfId="0" applyFont="1" applyBorder="1" applyAlignment="1">
      <alignment horizontal="center" vertical="center"/>
    </xf>
    <xf numFmtId="0" fontId="17" fillId="0" borderId="69" xfId="0" applyFont="1" applyBorder="1" applyAlignment="1">
      <alignment horizontal="center" vertical="center"/>
    </xf>
    <xf numFmtId="0" fontId="0" fillId="0" borderId="127" xfId="0" applyBorder="1"/>
    <xf numFmtId="0" fontId="0" fillId="0" borderId="131" xfId="0" applyBorder="1"/>
    <xf numFmtId="0" fontId="0" fillId="2" borderId="133" xfId="0" applyFill="1" applyBorder="1"/>
    <xf numFmtId="0" fontId="4" fillId="0" borderId="137" xfId="0" applyFont="1" applyBorder="1" applyAlignment="1">
      <alignment horizontal="center" vertical="center"/>
    </xf>
    <xf numFmtId="0" fontId="0" fillId="0" borderId="137" xfId="0" applyBorder="1" applyAlignment="1">
      <alignment horizontal="center" vertical="center"/>
    </xf>
    <xf numFmtId="0" fontId="4" fillId="0" borderId="131" xfId="0" applyFont="1" applyBorder="1" applyAlignment="1">
      <alignment horizontal="center" vertical="center"/>
    </xf>
    <xf numFmtId="0" fontId="0" fillId="0" borderId="138" xfId="0" applyBorder="1"/>
    <xf numFmtId="4" fontId="0" fillId="0" borderId="53" xfId="0" applyNumberFormat="1" applyBorder="1" applyAlignment="1">
      <alignment horizontal="center" vertical="center"/>
    </xf>
    <xf numFmtId="4" fontId="0" fillId="0" borderId="139" xfId="0" applyNumberFormat="1" applyBorder="1" applyAlignment="1">
      <alignment horizontal="center" vertical="center"/>
    </xf>
    <xf numFmtId="0" fontId="4" fillId="3" borderId="138" xfId="0" applyFont="1" applyFill="1" applyBorder="1"/>
    <xf numFmtId="0" fontId="4" fillId="3" borderId="139" xfId="0" applyFont="1" applyFill="1" applyBorder="1"/>
    <xf numFmtId="0" fontId="0" fillId="0" borderId="77" xfId="0" applyBorder="1"/>
    <xf numFmtId="0" fontId="0" fillId="0" borderId="73" xfId="0" applyBorder="1"/>
    <xf numFmtId="0" fontId="0" fillId="2" borderId="18" xfId="0" applyFill="1" applyBorder="1"/>
    <xf numFmtId="4" fontId="4" fillId="2" borderId="18" xfId="0" applyNumberFormat="1" applyFont="1" applyFill="1" applyBorder="1" applyAlignment="1">
      <alignment horizontal="center" vertical="center"/>
    </xf>
    <xf numFmtId="4" fontId="4" fillId="2" borderId="78" xfId="0" applyNumberFormat="1" applyFont="1" applyFill="1" applyBorder="1" applyAlignment="1">
      <alignment horizontal="center" vertical="center"/>
    </xf>
    <xf numFmtId="164" fontId="4" fillId="2" borderId="142" xfId="0" applyNumberFormat="1" applyFont="1" applyFill="1" applyBorder="1" applyAlignment="1">
      <alignment horizontal="center" vertical="center"/>
    </xf>
    <xf numFmtId="0" fontId="8" fillId="2" borderId="148" xfId="0" applyFont="1" applyFill="1" applyBorder="1" applyAlignment="1">
      <alignment horizontal="center" vertical="center" wrapText="1"/>
    </xf>
    <xf numFmtId="0" fontId="4" fillId="2" borderId="149" xfId="0" applyFont="1" applyFill="1" applyBorder="1" applyAlignment="1">
      <alignment horizontal="center" vertical="center" wrapText="1"/>
    </xf>
    <xf numFmtId="0" fontId="9" fillId="2" borderId="119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left" vertical="center" wrapText="1"/>
    </xf>
    <xf numFmtId="4" fontId="9" fillId="2" borderId="51" xfId="0" applyNumberFormat="1" applyFont="1" applyFill="1" applyBorder="1" applyAlignment="1">
      <alignment horizontal="center" vertical="center" wrapText="1"/>
    </xf>
    <xf numFmtId="4" fontId="9" fillId="2" borderId="120" xfId="0" applyNumberFormat="1" applyFont="1" applyFill="1" applyBorder="1" applyAlignment="1">
      <alignment horizontal="center" vertical="center" wrapText="1"/>
    </xf>
    <xf numFmtId="0" fontId="9" fillId="2" borderId="131" xfId="0" applyFont="1" applyFill="1" applyBorder="1" applyAlignment="1">
      <alignment horizontal="center" vertical="center" wrapText="1"/>
    </xf>
    <xf numFmtId="4" fontId="9" fillId="2" borderId="137" xfId="0" applyNumberFormat="1" applyFont="1" applyFill="1" applyBorder="1" applyAlignment="1">
      <alignment horizontal="center" vertical="center" wrapText="1"/>
    </xf>
    <xf numFmtId="0" fontId="9" fillId="2" borderId="150" xfId="0" applyFont="1" applyFill="1" applyBorder="1" applyAlignment="1">
      <alignment horizontal="center" vertical="center" wrapText="1"/>
    </xf>
    <xf numFmtId="0" fontId="9" fillId="2" borderId="151" xfId="0" applyFont="1" applyFill="1" applyBorder="1" applyAlignment="1">
      <alignment horizontal="center" vertical="center" wrapText="1"/>
    </xf>
    <xf numFmtId="0" fontId="9" fillId="2" borderId="151" xfId="0" applyFont="1" applyFill="1" applyBorder="1" applyAlignment="1">
      <alignment horizontal="left" vertical="center" wrapText="1"/>
    </xf>
    <xf numFmtId="4" fontId="9" fillId="2" borderId="151" xfId="0" applyNumberFormat="1" applyFont="1" applyFill="1" applyBorder="1" applyAlignment="1">
      <alignment horizontal="center" vertical="center" wrapText="1"/>
    </xf>
    <xf numFmtId="4" fontId="9" fillId="2" borderId="152" xfId="0" applyNumberFormat="1" applyFont="1" applyFill="1" applyBorder="1" applyAlignment="1">
      <alignment horizontal="center" vertical="center" wrapText="1"/>
    </xf>
    <xf numFmtId="0" fontId="9" fillId="2" borderId="153" xfId="0" applyFont="1" applyFill="1" applyBorder="1" applyAlignment="1">
      <alignment horizontal="center" vertical="center" wrapText="1"/>
    </xf>
    <xf numFmtId="4" fontId="9" fillId="2" borderId="149" xfId="0" applyNumberFormat="1" applyFont="1" applyFill="1" applyBorder="1" applyAlignment="1">
      <alignment horizontal="center" vertical="center" wrapText="1"/>
    </xf>
    <xf numFmtId="165" fontId="9" fillId="2" borderId="151" xfId="0" applyNumberFormat="1" applyFont="1" applyFill="1" applyBorder="1" applyAlignment="1">
      <alignment horizontal="center" vertical="center" wrapText="1"/>
    </xf>
    <xf numFmtId="4" fontId="4" fillId="2" borderId="142" xfId="0" applyNumberFormat="1" applyFont="1" applyFill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4" fontId="0" fillId="0" borderId="0" xfId="0" applyNumberFormat="1"/>
    <xf numFmtId="0" fontId="11" fillId="0" borderId="77" xfId="0" applyFont="1" applyBorder="1" applyAlignment="1">
      <alignment horizontal="center" vertical="center"/>
    </xf>
    <xf numFmtId="166" fontId="11" fillId="0" borderId="51" xfId="0" applyNumberFormat="1" applyFont="1" applyBorder="1" applyAlignment="1">
      <alignment horizontal="center" vertical="center"/>
    </xf>
    <xf numFmtId="167" fontId="11" fillId="0" borderId="51" xfId="0" applyNumberFormat="1" applyFont="1" applyBorder="1" applyAlignment="1">
      <alignment horizontal="center" vertical="center"/>
    </xf>
    <xf numFmtId="166" fontId="11" fillId="0" borderId="120" xfId="0" applyNumberFormat="1" applyFont="1" applyBorder="1" applyAlignment="1">
      <alignment horizontal="center" vertical="center"/>
    </xf>
    <xf numFmtId="167" fontId="11" fillId="0" borderId="65" xfId="0" applyNumberFormat="1" applyFont="1" applyBorder="1" applyAlignment="1">
      <alignment horizontal="center" vertical="center"/>
    </xf>
    <xf numFmtId="4" fontId="11" fillId="0" borderId="65" xfId="0" applyNumberFormat="1" applyFont="1" applyBorder="1" applyAlignment="1">
      <alignment horizontal="center" vertical="center" wrapText="1"/>
    </xf>
    <xf numFmtId="0" fontId="11" fillId="0" borderId="113" xfId="0" applyFont="1" applyBorder="1" applyAlignment="1">
      <alignment horizontal="center" vertical="center"/>
    </xf>
    <xf numFmtId="4" fontId="11" fillId="0" borderId="114" xfId="0" applyNumberFormat="1" applyFont="1" applyBorder="1" applyAlignment="1">
      <alignment horizontal="center" vertical="center"/>
    </xf>
    <xf numFmtId="166" fontId="11" fillId="0" borderId="114" xfId="0" applyNumberFormat="1" applyFont="1" applyBorder="1" applyAlignment="1">
      <alignment horizontal="center" vertical="center"/>
    </xf>
    <xf numFmtId="167" fontId="11" fillId="0" borderId="114" xfId="0" applyNumberFormat="1" applyFont="1" applyBorder="1" applyAlignment="1">
      <alignment horizontal="center" vertical="center"/>
    </xf>
    <xf numFmtId="4" fontId="11" fillId="0" borderId="126" xfId="0" applyNumberFormat="1" applyFont="1" applyBorder="1" applyAlignment="1">
      <alignment horizontal="center" vertical="center"/>
    </xf>
    <xf numFmtId="166" fontId="11" fillId="0" borderId="126" xfId="0" applyNumberFormat="1" applyFont="1" applyBorder="1" applyAlignment="1">
      <alignment horizontal="center" vertical="center"/>
    </xf>
    <xf numFmtId="4" fontId="11" fillId="0" borderId="154" xfId="0" applyNumberFormat="1" applyFont="1" applyBorder="1" applyAlignment="1">
      <alignment horizontal="center" vertical="center" wrapText="1"/>
    </xf>
    <xf numFmtId="4" fontId="11" fillId="0" borderId="154" xfId="0" applyNumberFormat="1" applyFont="1" applyBorder="1" applyAlignment="1">
      <alignment horizontal="center" vertical="center"/>
    </xf>
    <xf numFmtId="4" fontId="11" fillId="0" borderId="73" xfId="0" applyNumberFormat="1" applyFont="1" applyBorder="1" applyAlignment="1">
      <alignment horizontal="center" vertical="center"/>
    </xf>
    <xf numFmtId="0" fontId="0" fillId="0" borderId="65" xfId="0" applyBorder="1"/>
    <xf numFmtId="0" fontId="0" fillId="2" borderId="65" xfId="0" applyFill="1" applyBorder="1"/>
    <xf numFmtId="0" fontId="4" fillId="0" borderId="65" xfId="0" applyFont="1" applyBorder="1"/>
    <xf numFmtId="0" fontId="0" fillId="2" borderId="154" xfId="0" applyFill="1" applyBorder="1"/>
    <xf numFmtId="0" fontId="3" fillId="2" borderId="18" xfId="0" applyFont="1" applyFill="1" applyBorder="1"/>
    <xf numFmtId="0" fontId="11" fillId="0" borderId="18" xfId="3"/>
    <xf numFmtId="0" fontId="7" fillId="0" borderId="18" xfId="3" applyFont="1"/>
    <xf numFmtId="0" fontId="2" fillId="0" borderId="65" xfId="4" applyFont="1" applyBorder="1" applyAlignment="1">
      <alignment horizontal="center" vertical="center" wrapText="1"/>
    </xf>
    <xf numFmtId="0" fontId="2" fillId="0" borderId="65" xfId="4" applyFont="1" applyBorder="1" applyAlignment="1">
      <alignment horizontal="left" wrapText="1"/>
    </xf>
    <xf numFmtId="0" fontId="4" fillId="2" borderId="65" xfId="3" applyFont="1" applyFill="1" applyBorder="1" applyAlignment="1">
      <alignment horizontal="center" vertical="center" wrapText="1"/>
    </xf>
    <xf numFmtId="0" fontId="8" fillId="2" borderId="65" xfId="3" applyFont="1" applyFill="1" applyBorder="1" applyAlignment="1">
      <alignment horizontal="center" vertical="center" wrapText="1"/>
    </xf>
    <xf numFmtId="4" fontId="8" fillId="2" borderId="65" xfId="3" applyNumberFormat="1" applyFont="1" applyFill="1" applyBorder="1" applyAlignment="1">
      <alignment horizontal="center" vertical="center" wrapText="1"/>
    </xf>
    <xf numFmtId="0" fontId="4" fillId="3" borderId="141" xfId="0" applyFont="1" applyFill="1" applyBorder="1" applyAlignment="1">
      <alignment horizontal="center" vertical="center"/>
    </xf>
    <xf numFmtId="10" fontId="2" fillId="0" borderId="140" xfId="0" applyNumberFormat="1" applyFont="1" applyBorder="1" applyAlignment="1">
      <alignment horizontal="right" vertical="center"/>
    </xf>
    <xf numFmtId="10" fontId="4" fillId="0" borderId="140" xfId="0" applyNumberFormat="1" applyFont="1" applyBorder="1" applyAlignment="1">
      <alignment horizontal="right" vertical="center"/>
    </xf>
    <xf numFmtId="10" fontId="4" fillId="3" borderId="89" xfId="9" applyNumberFormat="1" applyFont="1" applyFill="1" applyBorder="1" applyAlignment="1">
      <alignment horizontal="center" vertical="center"/>
    </xf>
    <xf numFmtId="10" fontId="0" fillId="0" borderId="0" xfId="0" applyNumberFormat="1"/>
    <xf numFmtId="2" fontId="0" fillId="0" borderId="0" xfId="0" applyNumberFormat="1"/>
    <xf numFmtId="168" fontId="0" fillId="0" borderId="0" xfId="9" applyNumberFormat="1" applyFont="1" applyAlignment="1"/>
    <xf numFmtId="0" fontId="11" fillId="2" borderId="18" xfId="3" applyFill="1" applyAlignment="1">
      <alignment horizontal="left"/>
    </xf>
    <xf numFmtId="164" fontId="4" fillId="2" borderId="65" xfId="3" applyNumberFormat="1" applyFont="1" applyFill="1" applyBorder="1" applyAlignment="1">
      <alignment vertical="center"/>
    </xf>
    <xf numFmtId="4" fontId="9" fillId="2" borderId="65" xfId="3" applyNumberFormat="1" applyFont="1" applyFill="1" applyBorder="1" applyAlignment="1">
      <alignment horizontal="center" vertical="center" wrapText="1"/>
    </xf>
    <xf numFmtId="0" fontId="9" fillId="2" borderId="65" xfId="3" applyFont="1" applyFill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/>
    </xf>
    <xf numFmtId="4" fontId="0" fillId="0" borderId="65" xfId="0" applyNumberFormat="1" applyBorder="1" applyAlignment="1">
      <alignment horizontal="center" vertical="center" wrapText="1"/>
    </xf>
    <xf numFmtId="4" fontId="4" fillId="2" borderId="65" xfId="3" applyNumberFormat="1" applyFont="1" applyFill="1" applyBorder="1" applyAlignment="1">
      <alignment vertical="center"/>
    </xf>
    <xf numFmtId="0" fontId="9" fillId="2" borderId="65" xfId="3" applyFont="1" applyFill="1" applyBorder="1" applyAlignment="1">
      <alignment horizontal="left" vertical="center" wrapText="1"/>
    </xf>
    <xf numFmtId="0" fontId="11" fillId="2" borderId="65" xfId="0" applyFont="1" applyFill="1" applyBorder="1" applyAlignment="1">
      <alignment horizontal="left" vertical="center" wrapText="1"/>
    </xf>
    <xf numFmtId="0" fontId="11" fillId="2" borderId="65" xfId="3" applyFill="1" applyBorder="1"/>
    <xf numFmtId="0" fontId="4" fillId="9" borderId="65" xfId="3" applyFont="1" applyFill="1" applyBorder="1" applyAlignment="1">
      <alignment vertical="center" wrapText="1"/>
    </xf>
    <xf numFmtId="0" fontId="4" fillId="9" borderId="65" xfId="3" applyFont="1" applyFill="1" applyBorder="1" applyAlignment="1">
      <alignment horizontal="center" vertical="center" wrapText="1"/>
    </xf>
    <xf numFmtId="4" fontId="4" fillId="3" borderId="65" xfId="0" applyNumberFormat="1" applyFont="1" applyFill="1" applyBorder="1" applyAlignment="1">
      <alignment horizontal="center" vertical="center" wrapText="1"/>
    </xf>
    <xf numFmtId="4" fontId="4" fillId="5" borderId="65" xfId="0" applyNumberFormat="1" applyFont="1" applyFill="1" applyBorder="1" applyAlignment="1">
      <alignment horizontal="center" vertical="center" wrapText="1"/>
    </xf>
    <xf numFmtId="0" fontId="8" fillId="2" borderId="65" xfId="3" applyFont="1" applyFill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3" fillId="0" borderId="67" xfId="0" applyFont="1" applyBorder="1" applyAlignment="1">
      <alignment horizontal="center"/>
    </xf>
    <xf numFmtId="0" fontId="13" fillId="0" borderId="68" xfId="0" applyFont="1" applyBorder="1" applyAlignment="1">
      <alignment horizontal="center"/>
    </xf>
    <xf numFmtId="0" fontId="13" fillId="0" borderId="62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/>
    </xf>
    <xf numFmtId="0" fontId="0" fillId="0" borderId="65" xfId="0" applyBorder="1" applyAlignment="1">
      <alignment horizontal="center"/>
    </xf>
    <xf numFmtId="0" fontId="0" fillId="0" borderId="64" xfId="0" applyBorder="1" applyAlignment="1">
      <alignment horizontal="center"/>
    </xf>
    <xf numFmtId="0" fontId="13" fillId="0" borderId="63" xfId="0" applyFont="1" applyBorder="1" applyAlignment="1">
      <alignment horizontal="center" vertical="center"/>
    </xf>
    <xf numFmtId="0" fontId="13" fillId="0" borderId="66" xfId="0" applyFont="1" applyBorder="1" applyAlignment="1">
      <alignment horizontal="center" vertical="center"/>
    </xf>
    <xf numFmtId="0" fontId="0" fillId="0" borderId="66" xfId="0" applyBorder="1" applyAlignment="1">
      <alignment horizontal="center"/>
    </xf>
    <xf numFmtId="0" fontId="0" fillId="0" borderId="69" xfId="0" applyBorder="1" applyAlignment="1">
      <alignment horizontal="center"/>
    </xf>
    <xf numFmtId="0" fontId="13" fillId="0" borderId="61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/>
    </xf>
    <xf numFmtId="0" fontId="13" fillId="0" borderId="65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0" fillId="0" borderId="6" xfId="0" applyBorder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14" fontId="0" fillId="0" borderId="10" xfId="0" applyNumberFormat="1" applyBorder="1" applyAlignment="1">
      <alignment horizontal="left"/>
    </xf>
    <xf numFmtId="0" fontId="2" fillId="0" borderId="11" xfId="0" applyFont="1" applyBorder="1"/>
    <xf numFmtId="0" fontId="2" fillId="0" borderId="12" xfId="0" applyFont="1" applyBorder="1"/>
    <xf numFmtId="0" fontId="4" fillId="3" borderId="14" xfId="0" applyFont="1" applyFill="1" applyBorder="1" applyAlignment="1">
      <alignment horizontal="center" vertical="center"/>
    </xf>
    <xf numFmtId="0" fontId="2" fillId="0" borderId="15" xfId="0" applyFont="1" applyBorder="1"/>
    <xf numFmtId="0" fontId="2" fillId="0" borderId="16" xfId="0" applyFont="1" applyBorder="1"/>
    <xf numFmtId="0" fontId="4" fillId="2" borderId="17" xfId="0" applyFont="1" applyFill="1" applyBorder="1" applyAlignment="1">
      <alignment horizontal="center" vertical="center"/>
    </xf>
    <xf numFmtId="0" fontId="2" fillId="0" borderId="18" xfId="0" applyFont="1" applyBorder="1"/>
    <xf numFmtId="0" fontId="2" fillId="0" borderId="19" xfId="0" applyFont="1" applyBorder="1"/>
    <xf numFmtId="0" fontId="4" fillId="4" borderId="21" xfId="0" applyFont="1" applyFill="1" applyBorder="1" applyAlignment="1">
      <alignment horizontal="center" vertical="center"/>
    </xf>
    <xf numFmtId="0" fontId="2" fillId="0" borderId="22" xfId="0" applyFont="1" applyBorder="1"/>
    <xf numFmtId="0" fontId="4" fillId="3" borderId="108" xfId="0" applyFont="1" applyFill="1" applyBorder="1" applyAlignment="1">
      <alignment horizontal="center" vertical="center"/>
    </xf>
    <xf numFmtId="0" fontId="2" fillId="0" borderId="108" xfId="0" applyFont="1" applyBorder="1"/>
    <xf numFmtId="0" fontId="2" fillId="0" borderId="109" xfId="0" applyFont="1" applyBorder="1"/>
    <xf numFmtId="0" fontId="0" fillId="0" borderId="25" xfId="0" applyBorder="1" applyAlignment="1">
      <alignment horizontal="center" vertical="center"/>
    </xf>
    <xf numFmtId="0" fontId="2" fillId="0" borderId="26" xfId="0" applyFont="1" applyBorder="1"/>
    <xf numFmtId="0" fontId="2" fillId="0" borderId="27" xfId="0" applyFont="1" applyBorder="1"/>
    <xf numFmtId="4" fontId="0" fillId="0" borderId="6" xfId="0" applyNumberFormat="1" applyBorder="1" applyAlignment="1">
      <alignment horizontal="center" vertical="center"/>
    </xf>
    <xf numFmtId="0" fontId="2" fillId="0" borderId="29" xfId="0" applyFont="1" applyBorder="1"/>
    <xf numFmtId="0" fontId="0" fillId="0" borderId="6" xfId="0" applyBorder="1" applyAlignment="1">
      <alignment horizontal="center" vertical="center"/>
    </xf>
    <xf numFmtId="0" fontId="2" fillId="0" borderId="45" xfId="0" applyFont="1" applyBorder="1"/>
    <xf numFmtId="0" fontId="2" fillId="0" borderId="46" xfId="0" applyFont="1" applyBorder="1"/>
    <xf numFmtId="0" fontId="0" fillId="0" borderId="56" xfId="0" applyBorder="1" applyAlignment="1">
      <alignment horizontal="center"/>
    </xf>
    <xf numFmtId="0" fontId="0" fillId="0" borderId="73" xfId="0" applyBorder="1" applyAlignment="1">
      <alignment horizontal="center"/>
    </xf>
    <xf numFmtId="0" fontId="0" fillId="0" borderId="90" xfId="0" applyBorder="1" applyAlignment="1">
      <alignment horizontal="left" vertical="center"/>
    </xf>
    <xf numFmtId="0" fontId="0" fillId="0" borderId="80" xfId="0" applyBorder="1" applyAlignment="1">
      <alignment horizontal="left" vertical="center"/>
    </xf>
    <xf numFmtId="0" fontId="4" fillId="3" borderId="116" xfId="0" applyFont="1" applyFill="1" applyBorder="1" applyAlignment="1">
      <alignment horizontal="right" vertical="center"/>
    </xf>
    <xf numFmtId="0" fontId="2" fillId="0" borderId="53" xfId="0" applyFont="1" applyBorder="1"/>
    <xf numFmtId="0" fontId="4" fillId="3" borderId="58" xfId="0" applyFont="1" applyFill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/>
    </xf>
    <xf numFmtId="0" fontId="4" fillId="3" borderId="60" xfId="0" applyFont="1" applyFill="1" applyBorder="1" applyAlignment="1">
      <alignment horizontal="center" vertical="center"/>
    </xf>
    <xf numFmtId="0" fontId="0" fillId="0" borderId="79" xfId="0" applyBorder="1" applyAlignment="1">
      <alignment horizontal="center"/>
    </xf>
    <xf numFmtId="0" fontId="0" fillId="0" borderId="157" xfId="0" applyBorder="1" applyAlignment="1">
      <alignment horizontal="center"/>
    </xf>
    <xf numFmtId="0" fontId="0" fillId="0" borderId="93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58" xfId="0" applyBorder="1" applyAlignment="1">
      <alignment horizontal="center"/>
    </xf>
    <xf numFmtId="0" fontId="0" fillId="0" borderId="96" xfId="0" applyBorder="1" applyAlignment="1">
      <alignment horizontal="left" vertical="center"/>
    </xf>
    <xf numFmtId="0" fontId="4" fillId="4" borderId="14" xfId="0" applyFont="1" applyFill="1" applyBorder="1" applyAlignment="1">
      <alignment horizontal="center"/>
    </xf>
    <xf numFmtId="0" fontId="4" fillId="4" borderId="53" xfId="0" applyFont="1" applyFill="1" applyBorder="1" applyAlignment="1">
      <alignment horizontal="center"/>
    </xf>
    <xf numFmtId="0" fontId="2" fillId="0" borderId="70" xfId="0" applyFont="1" applyBorder="1"/>
    <xf numFmtId="0" fontId="2" fillId="0" borderId="71" xfId="0" applyFont="1" applyBorder="1"/>
    <xf numFmtId="0" fontId="0" fillId="3" borderId="33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2" fillId="0" borderId="34" xfId="0" applyFont="1" applyBorder="1"/>
    <xf numFmtId="0" fontId="2" fillId="0" borderId="72" xfId="0" applyFont="1" applyBorder="1"/>
    <xf numFmtId="0" fontId="11" fillId="0" borderId="40" xfId="0" applyFont="1" applyBorder="1" applyAlignment="1">
      <alignment horizontal="left"/>
    </xf>
    <xf numFmtId="0" fontId="0" fillId="0" borderId="7" xfId="0" applyBorder="1" applyAlignment="1">
      <alignment horizontal="left"/>
    </xf>
    <xf numFmtId="14" fontId="11" fillId="2" borderId="41" xfId="0" applyNumberFormat="1" applyFont="1" applyFill="1" applyBorder="1" applyAlignment="1">
      <alignment horizontal="left"/>
    </xf>
    <xf numFmtId="14" fontId="0" fillId="2" borderId="42" xfId="0" applyNumberFormat="1" applyFill="1" applyBorder="1" applyAlignment="1">
      <alignment horizontal="left"/>
    </xf>
    <xf numFmtId="0" fontId="4" fillId="0" borderId="61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2" borderId="87" xfId="0" applyFont="1" applyFill="1" applyBorder="1" applyAlignment="1">
      <alignment horizontal="center"/>
    </xf>
    <xf numFmtId="0" fontId="4" fillId="2" borderId="88" xfId="0" applyFont="1" applyFill="1" applyBorder="1" applyAlignment="1">
      <alignment horizontal="center"/>
    </xf>
    <xf numFmtId="0" fontId="4" fillId="2" borderId="89" xfId="0" applyFont="1" applyFill="1" applyBorder="1" applyAlignment="1">
      <alignment horizontal="center"/>
    </xf>
    <xf numFmtId="0" fontId="0" fillId="0" borderId="84" xfId="0" applyBorder="1" applyAlignment="1">
      <alignment horizontal="center"/>
    </xf>
    <xf numFmtId="0" fontId="0" fillId="0" borderId="85" xfId="0" applyBorder="1" applyAlignment="1">
      <alignment horizontal="center"/>
    </xf>
    <xf numFmtId="0" fontId="0" fillId="0" borderId="86" xfId="0" applyBorder="1" applyAlignment="1">
      <alignment horizontal="center"/>
    </xf>
    <xf numFmtId="0" fontId="11" fillId="0" borderId="75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1" fillId="0" borderId="78" xfId="0" applyFont="1" applyBorder="1" applyAlignment="1">
      <alignment horizontal="center" vertical="center"/>
    </xf>
    <xf numFmtId="0" fontId="11" fillId="0" borderId="79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 wrapText="1"/>
    </xf>
    <xf numFmtId="0" fontId="0" fillId="0" borderId="92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97" xfId="0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11" fillId="0" borderId="103" xfId="0" applyFont="1" applyBorder="1" applyAlignment="1">
      <alignment horizontal="left" vertical="center"/>
    </xf>
    <xf numFmtId="0" fontId="0" fillId="0" borderId="104" xfId="0" applyBorder="1" applyAlignment="1">
      <alignment horizontal="left" vertical="center"/>
    </xf>
    <xf numFmtId="0" fontId="0" fillId="0" borderId="105" xfId="0" applyBorder="1" applyAlignment="1">
      <alignment horizontal="left" vertical="center"/>
    </xf>
    <xf numFmtId="0" fontId="11" fillId="0" borderId="78" xfId="0" applyFont="1" applyBorder="1" applyAlignment="1">
      <alignment horizontal="center"/>
    </xf>
    <xf numFmtId="0" fontId="0" fillId="0" borderId="97" xfId="0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18" xfId="0" applyBorder="1" applyAlignment="1">
      <alignment horizontal="center"/>
    </xf>
    <xf numFmtId="0" fontId="11" fillId="0" borderId="82" xfId="0" applyFont="1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11" fillId="0" borderId="101" xfId="0" applyFont="1" applyBorder="1" applyAlignment="1">
      <alignment horizontal="left" vertical="center"/>
    </xf>
    <xf numFmtId="0" fontId="0" fillId="0" borderId="101" xfId="0" applyBorder="1" applyAlignment="1">
      <alignment horizontal="center"/>
    </xf>
    <xf numFmtId="0" fontId="0" fillId="0" borderId="90" xfId="0" applyBorder="1" applyAlignment="1">
      <alignment horizontal="center"/>
    </xf>
    <xf numFmtId="0" fontId="0" fillId="0" borderId="80" xfId="0" applyBorder="1" applyAlignment="1">
      <alignment horizontal="center"/>
    </xf>
    <xf numFmtId="0" fontId="0" fillId="0" borderId="106" xfId="0" applyBorder="1" applyAlignment="1">
      <alignment horizontal="center"/>
    </xf>
    <xf numFmtId="0" fontId="0" fillId="0" borderId="107" xfId="0" applyBorder="1" applyAlignment="1">
      <alignment horizontal="center"/>
    </xf>
    <xf numFmtId="0" fontId="0" fillId="0" borderId="81" xfId="0" applyBorder="1" applyAlignment="1">
      <alignment horizontal="center"/>
    </xf>
    <xf numFmtId="0" fontId="11" fillId="0" borderId="92" xfId="0" applyFont="1" applyBorder="1" applyAlignment="1">
      <alignment horizontal="center" vertical="center"/>
    </xf>
    <xf numFmtId="0" fontId="11" fillId="0" borderId="97" xfId="0" applyFont="1" applyBorder="1" applyAlignment="1">
      <alignment horizontal="center" vertical="center"/>
    </xf>
    <xf numFmtId="0" fontId="11" fillId="0" borderId="7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73" xfId="0" applyFont="1" applyBorder="1" applyAlignment="1">
      <alignment horizontal="center"/>
    </xf>
    <xf numFmtId="0" fontId="11" fillId="0" borderId="95" xfId="0" applyFont="1" applyBorder="1" applyAlignment="1">
      <alignment horizontal="center"/>
    </xf>
    <xf numFmtId="0" fontId="11" fillId="0" borderId="55" xfId="0" applyFont="1" applyBorder="1" applyAlignment="1">
      <alignment horizontal="center"/>
    </xf>
    <xf numFmtId="0" fontId="11" fillId="0" borderId="96" xfId="0" applyFont="1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92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94" xfId="0" applyBorder="1" applyAlignment="1">
      <alignment horizontal="center"/>
    </xf>
    <xf numFmtId="0" fontId="11" fillId="0" borderId="97" xfId="0" applyFont="1" applyBorder="1" applyAlignment="1">
      <alignment horizontal="center"/>
    </xf>
    <xf numFmtId="0" fontId="11" fillId="0" borderId="79" xfId="0" applyFont="1" applyBorder="1" applyAlignment="1">
      <alignment horizontal="center"/>
    </xf>
    <xf numFmtId="0" fontId="11" fillId="0" borderId="65" xfId="0" applyFont="1" applyBorder="1" applyAlignment="1">
      <alignment horizontal="left"/>
    </xf>
    <xf numFmtId="0" fontId="0" fillId="0" borderId="65" xfId="0" applyBorder="1" applyAlignment="1">
      <alignment horizontal="left"/>
    </xf>
    <xf numFmtId="0" fontId="13" fillId="0" borderId="7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73" xfId="0" applyFont="1" applyBorder="1" applyAlignment="1">
      <alignment horizontal="center" vertical="center" wrapText="1"/>
    </xf>
    <xf numFmtId="0" fontId="13" fillId="0" borderId="78" xfId="0" applyFont="1" applyBorder="1" applyAlignment="1">
      <alignment horizontal="center" vertical="center" wrapText="1"/>
    </xf>
    <xf numFmtId="0" fontId="13" fillId="0" borderId="97" xfId="0" applyFont="1" applyBorder="1" applyAlignment="1">
      <alignment horizontal="center" vertical="center" wrapText="1"/>
    </xf>
    <xf numFmtId="0" fontId="13" fillId="0" borderId="79" xfId="0" applyFont="1" applyBorder="1" applyAlignment="1">
      <alignment horizontal="center" vertical="center" wrapText="1"/>
    </xf>
    <xf numFmtId="0" fontId="4" fillId="4" borderId="143" xfId="0" applyFont="1" applyFill="1" applyBorder="1" applyAlignment="1">
      <alignment horizontal="center" vertical="center"/>
    </xf>
    <xf numFmtId="0" fontId="2" fillId="0" borderId="144" xfId="0" applyFont="1" applyBorder="1"/>
    <xf numFmtId="0" fontId="2" fillId="0" borderId="145" xfId="0" applyFont="1" applyBorder="1"/>
    <xf numFmtId="0" fontId="8" fillId="2" borderId="146" xfId="0" applyFont="1" applyFill="1" applyBorder="1" applyAlignment="1">
      <alignment horizontal="center" vertical="center" wrapText="1"/>
    </xf>
    <xf numFmtId="0" fontId="2" fillId="0" borderId="43" xfId="0" applyFont="1" applyBorder="1"/>
    <xf numFmtId="0" fontId="8" fillId="2" borderId="2" xfId="0" applyFont="1" applyFill="1" applyBorder="1" applyAlignment="1">
      <alignment horizontal="center" vertical="center" wrapText="1"/>
    </xf>
    <xf numFmtId="0" fontId="2" fillId="0" borderId="147" xfId="0" applyFont="1" applyBorder="1"/>
    <xf numFmtId="0" fontId="0" fillId="2" borderId="6" xfId="0" applyFill="1" applyBorder="1" applyAlignment="1">
      <alignment horizontal="left" vertical="center"/>
    </xf>
    <xf numFmtId="14" fontId="0" fillId="2" borderId="6" xfId="0" applyNumberFormat="1" applyFill="1" applyBorder="1" applyAlignment="1">
      <alignment horizontal="left" vertical="center"/>
    </xf>
    <xf numFmtId="0" fontId="0" fillId="0" borderId="128" xfId="0" applyBorder="1" applyAlignment="1">
      <alignment horizontal="left"/>
    </xf>
    <xf numFmtId="0" fontId="2" fillId="0" borderId="129" xfId="0" applyFont="1" applyBorder="1"/>
    <xf numFmtId="0" fontId="2" fillId="0" borderId="130" xfId="0" applyFont="1" applyBorder="1"/>
    <xf numFmtId="0" fontId="0" fillId="0" borderId="40" xfId="0" applyBorder="1" applyAlignment="1">
      <alignment horizontal="left"/>
    </xf>
    <xf numFmtId="0" fontId="2" fillId="0" borderId="132" xfId="0" applyFont="1" applyBorder="1"/>
    <xf numFmtId="14" fontId="0" fillId="0" borderId="40" xfId="0" applyNumberFormat="1" applyBorder="1" applyAlignment="1">
      <alignment horizontal="left"/>
    </xf>
    <xf numFmtId="0" fontId="4" fillId="0" borderId="112" xfId="0" applyFont="1" applyBorder="1" applyAlignment="1">
      <alignment horizontal="center" vertical="center"/>
    </xf>
    <xf numFmtId="0" fontId="2" fillId="0" borderId="112" xfId="0" applyFont="1" applyBorder="1"/>
    <xf numFmtId="0" fontId="2" fillId="0" borderId="119" xfId="0" applyFont="1" applyBorder="1"/>
    <xf numFmtId="0" fontId="4" fillId="0" borderId="48" xfId="0" applyFont="1" applyBorder="1" applyAlignment="1">
      <alignment horizontal="center" vertical="center"/>
    </xf>
    <xf numFmtId="0" fontId="2" fillId="0" borderId="48" xfId="0" applyFont="1" applyBorder="1"/>
    <xf numFmtId="0" fontId="2" fillId="0" borderId="51" xfId="0" applyFont="1" applyBorder="1"/>
    <xf numFmtId="0" fontId="4" fillId="0" borderId="49" xfId="0" applyFont="1" applyBorder="1" applyAlignment="1">
      <alignment horizontal="center" vertical="center"/>
    </xf>
    <xf numFmtId="0" fontId="2" fillId="0" borderId="50" xfId="0" applyFont="1" applyBorder="1"/>
    <xf numFmtId="0" fontId="2" fillId="0" borderId="47" xfId="0" applyFont="1" applyBorder="1"/>
    <xf numFmtId="0" fontId="4" fillId="4" borderId="134" xfId="0" applyFont="1" applyFill="1" applyBorder="1" applyAlignment="1">
      <alignment horizontal="center" vertical="center"/>
    </xf>
    <xf numFmtId="0" fontId="2" fillId="0" borderId="135" xfId="0" applyFont="1" applyBorder="1"/>
    <xf numFmtId="0" fontId="4" fillId="0" borderId="47" xfId="0" applyFont="1" applyBorder="1" applyAlignment="1">
      <alignment horizontal="center" vertical="center"/>
    </xf>
    <xf numFmtId="0" fontId="2" fillId="0" borderId="136" xfId="0" applyFont="1" applyBorder="1"/>
    <xf numFmtId="0" fontId="4" fillId="0" borderId="40" xfId="0" applyFont="1" applyBorder="1" applyAlignment="1">
      <alignment horizontal="center" vertical="center"/>
    </xf>
    <xf numFmtId="0" fontId="11" fillId="0" borderId="75" xfId="0" applyFont="1" applyBorder="1" applyAlignment="1">
      <alignment horizontal="left" vertical="top"/>
    </xf>
    <xf numFmtId="0" fontId="11" fillId="0" borderId="92" xfId="0" applyFont="1" applyBorder="1" applyAlignment="1">
      <alignment horizontal="left" vertical="top"/>
    </xf>
    <xf numFmtId="0" fontId="11" fillId="0" borderId="76" xfId="0" applyFont="1" applyBorder="1" applyAlignment="1">
      <alignment horizontal="left" vertical="top"/>
    </xf>
    <xf numFmtId="0" fontId="11" fillId="0" borderId="78" xfId="0" applyFont="1" applyBorder="1" applyAlignment="1">
      <alignment horizontal="left" vertical="top"/>
    </xf>
    <xf numFmtId="0" fontId="11" fillId="0" borderId="97" xfId="0" applyFont="1" applyBorder="1" applyAlignment="1">
      <alignment horizontal="left" vertical="top"/>
    </xf>
    <xf numFmtId="0" fontId="11" fillId="0" borderId="79" xfId="0" applyFont="1" applyBorder="1" applyAlignment="1">
      <alignment horizontal="left" vertical="top"/>
    </xf>
    <xf numFmtId="0" fontId="11" fillId="0" borderId="75" xfId="0" applyFont="1" applyBorder="1" applyAlignment="1">
      <alignment horizontal="left" vertical="center"/>
    </xf>
    <xf numFmtId="0" fontId="11" fillId="0" borderId="92" xfId="0" applyFont="1" applyBorder="1" applyAlignment="1">
      <alignment horizontal="left" vertical="center"/>
    </xf>
    <xf numFmtId="0" fontId="11" fillId="0" borderId="76" xfId="0" applyFont="1" applyBorder="1" applyAlignment="1">
      <alignment horizontal="left" vertical="center"/>
    </xf>
    <xf numFmtId="0" fontId="0" fillId="0" borderId="7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73" xfId="0" applyBorder="1" applyAlignment="1">
      <alignment horizontal="left" vertical="center"/>
    </xf>
    <xf numFmtId="0" fontId="11" fillId="0" borderId="95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96" xfId="0" applyFont="1" applyBorder="1" applyAlignment="1">
      <alignment horizontal="center" vertical="center"/>
    </xf>
    <xf numFmtId="0" fontId="11" fillId="0" borderId="7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73" xfId="0" applyFont="1" applyBorder="1" applyAlignment="1">
      <alignment horizontal="left" vertical="center"/>
    </xf>
    <xf numFmtId="0" fontId="11" fillId="0" borderId="78" xfId="0" applyFont="1" applyBorder="1" applyAlignment="1">
      <alignment horizontal="left" vertical="center"/>
    </xf>
    <xf numFmtId="0" fontId="11" fillId="0" borderId="97" xfId="0" applyFont="1" applyBorder="1" applyAlignment="1">
      <alignment horizontal="left" vertical="center"/>
    </xf>
    <xf numFmtId="0" fontId="11" fillId="0" borderId="79" xfId="0" applyFont="1" applyBorder="1" applyAlignment="1">
      <alignment horizontal="left" vertical="center"/>
    </xf>
    <xf numFmtId="0" fontId="13" fillId="0" borderId="65" xfId="10" applyFont="1" applyBorder="1" applyAlignment="1">
      <alignment horizontal="center"/>
    </xf>
    <xf numFmtId="0" fontId="11" fillId="2" borderId="65" xfId="3" applyFill="1" applyBorder="1" applyAlignment="1">
      <alignment horizontal="center" vertical="center" wrapText="1"/>
    </xf>
    <xf numFmtId="0" fontId="13" fillId="0" borderId="65" xfId="10" applyFont="1" applyBorder="1" applyAlignment="1">
      <alignment horizontal="center" vertical="center"/>
    </xf>
    <xf numFmtId="0" fontId="0" fillId="0" borderId="65" xfId="10" applyFont="1" applyBorder="1" applyAlignment="1">
      <alignment horizontal="center"/>
    </xf>
    <xf numFmtId="0" fontId="11" fillId="2" borderId="65" xfId="3" applyFill="1" applyBorder="1" applyAlignment="1">
      <alignment horizontal="left" vertical="center"/>
    </xf>
    <xf numFmtId="0" fontId="2" fillId="0" borderId="65" xfId="3" applyFont="1" applyBorder="1"/>
    <xf numFmtId="14" fontId="11" fillId="2" borderId="65" xfId="3" applyNumberFormat="1" applyFill="1" applyBorder="1" applyAlignment="1">
      <alignment horizontal="left" vertical="center"/>
    </xf>
    <xf numFmtId="0" fontId="11" fillId="2" borderId="65" xfId="3" applyFill="1" applyBorder="1" applyAlignment="1">
      <alignment horizontal="center"/>
    </xf>
    <xf numFmtId="0" fontId="4" fillId="2" borderId="54" xfId="3" applyFont="1" applyFill="1" applyBorder="1" applyAlignment="1">
      <alignment horizontal="center" vertical="center" wrapText="1"/>
    </xf>
    <xf numFmtId="0" fontId="4" fillId="2" borderId="157" xfId="3" applyFont="1" applyFill="1" applyBorder="1" applyAlignment="1">
      <alignment horizontal="center" vertical="center" wrapText="1"/>
    </xf>
    <xf numFmtId="0" fontId="4" fillId="2" borderId="56" xfId="3" applyFont="1" applyFill="1" applyBorder="1" applyAlignment="1">
      <alignment horizontal="center" vertical="center" wrapText="1"/>
    </xf>
    <xf numFmtId="0" fontId="4" fillId="2" borderId="162" xfId="3" applyFont="1" applyFill="1" applyBorder="1" applyAlignment="1">
      <alignment horizontal="center" vertical="center" wrapText="1"/>
    </xf>
    <xf numFmtId="0" fontId="2" fillId="10" borderId="156" xfId="3" applyFont="1" applyFill="1" applyBorder="1" applyAlignment="1">
      <alignment horizontal="center" vertical="center" wrapText="1"/>
    </xf>
    <xf numFmtId="0" fontId="2" fillId="10" borderId="90" xfId="3" applyFont="1" applyFill="1" applyBorder="1" applyAlignment="1">
      <alignment horizontal="center" vertical="center" wrapText="1"/>
    </xf>
    <xf numFmtId="0" fontId="2" fillId="10" borderId="159" xfId="3" applyFont="1" applyFill="1" applyBorder="1" applyAlignment="1">
      <alignment horizontal="center" vertical="center" wrapText="1"/>
    </xf>
    <xf numFmtId="0" fontId="4" fillId="2" borderId="65" xfId="3" applyFont="1" applyFill="1" applyBorder="1" applyAlignment="1">
      <alignment horizontal="center" vertical="center"/>
    </xf>
    <xf numFmtId="0" fontId="2" fillId="10" borderId="156" xfId="3" applyFont="1" applyFill="1" applyBorder="1" applyAlignment="1">
      <alignment horizontal="center" wrapText="1"/>
    </xf>
    <xf numFmtId="0" fontId="2" fillId="10" borderId="90" xfId="3" applyFont="1" applyFill="1" applyBorder="1" applyAlignment="1">
      <alignment horizontal="center" wrapText="1"/>
    </xf>
    <xf numFmtId="0" fontId="2" fillId="10" borderId="159" xfId="3" applyFont="1" applyFill="1" applyBorder="1" applyAlignment="1">
      <alignment horizontal="center" wrapText="1"/>
    </xf>
    <xf numFmtId="4" fontId="2" fillId="10" borderId="156" xfId="3" applyNumberFormat="1" applyFont="1" applyFill="1" applyBorder="1" applyAlignment="1">
      <alignment horizontal="center" vertical="center" wrapText="1"/>
    </xf>
    <xf numFmtId="0" fontId="8" fillId="2" borderId="65" xfId="3" applyFont="1" applyFill="1" applyBorder="1" applyAlignment="1">
      <alignment horizontal="center" vertical="center" wrapText="1"/>
    </xf>
    <xf numFmtId="0" fontId="2" fillId="0" borderId="65" xfId="3" applyFont="1" applyBorder="1" applyAlignment="1">
      <alignment horizontal="center"/>
    </xf>
    <xf numFmtId="0" fontId="11" fillId="2" borderId="65" xfId="3" applyFill="1" applyBorder="1" applyAlignment="1">
      <alignment horizontal="left"/>
    </xf>
    <xf numFmtId="4" fontId="4" fillId="2" borderId="65" xfId="3" applyNumberFormat="1" applyFont="1" applyFill="1" applyBorder="1" applyAlignment="1">
      <alignment horizontal="center" vertical="center"/>
    </xf>
    <xf numFmtId="0" fontId="4" fillId="0" borderId="124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0" fillId="0" borderId="49" xfId="0" applyBorder="1" applyAlignment="1">
      <alignment horizontal="left" vertical="center"/>
    </xf>
    <xf numFmtId="14" fontId="0" fillId="0" borderId="49" xfId="0" applyNumberFormat="1" applyBorder="1" applyAlignment="1">
      <alignment horizontal="left" vertical="center"/>
    </xf>
    <xf numFmtId="14" fontId="0" fillId="0" borderId="18" xfId="0" applyNumberFormat="1" applyBorder="1" applyAlignment="1">
      <alignment horizontal="left" vertical="center"/>
    </xf>
    <xf numFmtId="0" fontId="4" fillId="4" borderId="58" xfId="0" applyFont="1" applyFill="1" applyBorder="1" applyAlignment="1">
      <alignment horizontal="center" vertical="center"/>
    </xf>
    <xf numFmtId="0" fontId="4" fillId="4" borderId="59" xfId="0" applyFont="1" applyFill="1" applyBorder="1" applyAlignment="1">
      <alignment horizontal="center" vertical="center"/>
    </xf>
    <xf numFmtId="0" fontId="4" fillId="4" borderId="60" xfId="0" applyFont="1" applyFill="1" applyBorder="1" applyAlignment="1">
      <alignment horizontal="center" vertical="center"/>
    </xf>
    <xf numFmtId="0" fontId="4" fillId="0" borderId="91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91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123" xfId="0" applyFont="1" applyBorder="1" applyAlignment="1">
      <alignment horizontal="center" vertical="center"/>
    </xf>
    <xf numFmtId="0" fontId="14" fillId="0" borderId="64" xfId="0" applyFont="1" applyBorder="1"/>
    <xf numFmtId="0" fontId="14" fillId="0" borderId="65" xfId="0" applyFont="1" applyBorder="1"/>
    <xf numFmtId="0" fontId="4" fillId="3" borderId="121" xfId="0" applyFont="1" applyFill="1" applyBorder="1" applyAlignment="1">
      <alignment horizontal="right" vertical="center"/>
    </xf>
    <xf numFmtId="0" fontId="4" fillId="3" borderId="117" xfId="0" applyFont="1" applyFill="1" applyBorder="1" applyAlignment="1">
      <alignment horizontal="right" vertical="center"/>
    </xf>
    <xf numFmtId="0" fontId="4" fillId="4" borderId="75" xfId="0" applyFont="1" applyFill="1" applyBorder="1" applyAlignment="1">
      <alignment horizontal="center" vertical="center"/>
    </xf>
    <xf numFmtId="0" fontId="4" fillId="4" borderId="92" xfId="0" applyFont="1" applyFill="1" applyBorder="1" applyAlignment="1">
      <alignment horizontal="center" vertical="center"/>
    </xf>
    <xf numFmtId="0" fontId="4" fillId="4" borderId="76" xfId="0" applyFont="1" applyFill="1" applyBorder="1" applyAlignment="1">
      <alignment horizontal="center" vertical="center"/>
    </xf>
    <xf numFmtId="0" fontId="4" fillId="3" borderId="118" xfId="0" applyFont="1" applyFill="1" applyBorder="1" applyAlignment="1">
      <alignment horizontal="right" vertical="center"/>
    </xf>
    <xf numFmtId="0" fontId="0" fillId="0" borderId="65" xfId="0" applyBorder="1" applyAlignment="1">
      <alignment horizontal="left" vertical="center"/>
    </xf>
    <xf numFmtId="0" fontId="0" fillId="0" borderId="154" xfId="0" applyBorder="1" applyAlignment="1">
      <alignment horizontal="left" vertical="center"/>
    </xf>
    <xf numFmtId="0" fontId="4" fillId="0" borderId="85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center" vertical="center"/>
    </xf>
    <xf numFmtId="0" fontId="0" fillId="0" borderId="78" xfId="0" applyBorder="1" applyAlignment="1">
      <alignment horizontal="center"/>
    </xf>
    <xf numFmtId="0" fontId="11" fillId="0" borderId="75" xfId="0" applyFont="1" applyBorder="1" applyAlignment="1">
      <alignment horizontal="left" vertical="center" wrapText="1"/>
    </xf>
    <xf numFmtId="0" fontId="0" fillId="0" borderId="92" xfId="0" applyBorder="1" applyAlignment="1">
      <alignment horizontal="left" vertical="center" wrapText="1"/>
    </xf>
    <xf numFmtId="0" fontId="0" fillId="0" borderId="76" xfId="0" applyBorder="1" applyAlignment="1">
      <alignment horizontal="left" vertical="center" wrapText="1"/>
    </xf>
    <xf numFmtId="0" fontId="0" fillId="0" borderId="7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73" xfId="0" applyBorder="1" applyAlignment="1">
      <alignment horizontal="left" vertical="center" wrapText="1"/>
    </xf>
    <xf numFmtId="4" fontId="11" fillId="0" borderId="65" xfId="0" applyNumberFormat="1" applyFont="1" applyBorder="1" applyAlignment="1">
      <alignment horizontal="center" vertical="center"/>
    </xf>
    <xf numFmtId="0" fontId="11" fillId="0" borderId="7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4" fillId="4" borderId="78" xfId="0" applyFont="1" applyFill="1" applyBorder="1" applyAlignment="1">
      <alignment horizontal="center" vertical="center"/>
    </xf>
    <xf numFmtId="0" fontId="4" fillId="4" borderId="97" xfId="0" applyFont="1" applyFill="1" applyBorder="1" applyAlignment="1">
      <alignment horizontal="center" vertical="center"/>
    </xf>
    <xf numFmtId="0" fontId="4" fillId="4" borderId="79" xfId="0" applyFont="1" applyFill="1" applyBorder="1" applyAlignment="1">
      <alignment horizontal="center" vertical="center"/>
    </xf>
    <xf numFmtId="0" fontId="4" fillId="0" borderId="125" xfId="0" applyFont="1" applyBorder="1" applyAlignment="1">
      <alignment horizontal="center" vertical="center"/>
    </xf>
    <xf numFmtId="0" fontId="4" fillId="3" borderId="78" xfId="0" applyFont="1" applyFill="1" applyBorder="1" applyAlignment="1">
      <alignment horizontal="right" vertical="center"/>
    </xf>
    <xf numFmtId="0" fontId="4" fillId="3" borderId="97" xfId="0" applyFont="1" applyFill="1" applyBorder="1" applyAlignment="1">
      <alignment horizontal="right" vertical="center"/>
    </xf>
    <xf numFmtId="0" fontId="4" fillId="3" borderId="115" xfId="0" applyFont="1" applyFill="1" applyBorder="1" applyAlignment="1">
      <alignment horizontal="right" vertical="center"/>
    </xf>
    <xf numFmtId="0" fontId="11" fillId="0" borderId="68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1" fillId="0" borderId="62" xfId="0" applyFont="1" applyBorder="1" applyAlignment="1">
      <alignment horizontal="left" vertical="top"/>
    </xf>
    <xf numFmtId="0" fontId="11" fillId="0" borderId="63" xfId="0" applyFont="1" applyBorder="1" applyAlignment="1">
      <alignment horizontal="left" vertical="top"/>
    </xf>
    <xf numFmtId="0" fontId="11" fillId="0" borderId="65" xfId="0" applyFont="1" applyBorder="1" applyAlignment="1">
      <alignment horizontal="left" vertical="top"/>
    </xf>
    <xf numFmtId="0" fontId="11" fillId="0" borderId="66" xfId="0" applyFont="1" applyBorder="1" applyAlignment="1">
      <alignment horizontal="left" vertical="top"/>
    </xf>
    <xf numFmtId="0" fontId="11" fillId="0" borderId="56" xfId="0" applyFont="1" applyBorder="1" applyAlignment="1">
      <alignment horizontal="center" vertical="center"/>
    </xf>
    <xf numFmtId="0" fontId="11" fillId="0" borderId="102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/>
    </xf>
    <xf numFmtId="0" fontId="11" fillId="0" borderId="65" xfId="0" applyFont="1" applyBorder="1" applyAlignment="1">
      <alignment horizontal="center"/>
    </xf>
    <xf numFmtId="0" fontId="11" fillId="0" borderId="67" xfId="0" applyFont="1" applyBorder="1" applyAlignment="1">
      <alignment horizontal="center"/>
    </xf>
    <xf numFmtId="0" fontId="0" fillId="0" borderId="68" xfId="0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4" fillId="7" borderId="87" xfId="0" applyFont="1" applyFill="1" applyBorder="1" applyAlignment="1">
      <alignment horizontal="center" vertical="center"/>
    </xf>
    <xf numFmtId="0" fontId="4" fillId="7" borderId="88" xfId="0" applyFont="1" applyFill="1" applyBorder="1" applyAlignment="1">
      <alignment horizontal="center" vertical="center"/>
    </xf>
    <xf numFmtId="0" fontId="4" fillId="7" borderId="89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/>
    </xf>
    <xf numFmtId="0" fontId="11" fillId="0" borderId="54" xfId="0" applyFont="1" applyBorder="1" applyAlignment="1">
      <alignment horizontal="left" vertical="center"/>
    </xf>
    <xf numFmtId="0" fontId="11" fillId="0" borderId="55" xfId="0" applyFont="1" applyBorder="1" applyAlignment="1">
      <alignment horizontal="left" vertical="center"/>
    </xf>
    <xf numFmtId="0" fontId="11" fillId="0" borderId="96" xfId="0" applyFont="1" applyBorder="1" applyAlignment="1">
      <alignment horizontal="left" vertical="center"/>
    </xf>
    <xf numFmtId="0" fontId="4" fillId="0" borderId="123" xfId="0" applyFont="1" applyBorder="1" applyAlignment="1">
      <alignment horizontal="center" vertical="center" wrapText="1"/>
    </xf>
    <xf numFmtId="0" fontId="14" fillId="0" borderId="64" xfId="0" applyFont="1" applyBorder="1" applyAlignment="1">
      <alignment wrapText="1"/>
    </xf>
    <xf numFmtId="0" fontId="4" fillId="7" borderId="18" xfId="0" applyFont="1" applyFill="1" applyBorder="1" applyAlignment="1">
      <alignment horizontal="center" vertical="center"/>
    </xf>
    <xf numFmtId="0" fontId="16" fillId="0" borderId="61" xfId="0" applyFont="1" applyBorder="1" applyAlignment="1">
      <alignment horizontal="center" vertical="center" wrapText="1"/>
    </xf>
    <xf numFmtId="0" fontId="16" fillId="0" borderId="63" xfId="0" applyFont="1" applyBorder="1" applyAlignment="1">
      <alignment horizontal="center" vertical="center" wrapText="1"/>
    </xf>
    <xf numFmtId="0" fontId="2" fillId="0" borderId="65" xfId="0" applyFont="1" applyBorder="1"/>
    <xf numFmtId="0" fontId="11" fillId="0" borderId="64" xfId="0" applyFont="1" applyBorder="1" applyAlignment="1">
      <alignment horizontal="left" vertical="center"/>
    </xf>
    <xf numFmtId="0" fontId="0" fillId="0" borderId="66" xfId="0" applyBorder="1" applyAlignment="1">
      <alignment horizontal="left" vertical="center"/>
    </xf>
    <xf numFmtId="0" fontId="11" fillId="0" borderId="64" xfId="0" applyFont="1" applyBorder="1" applyAlignment="1">
      <alignment horizontal="left"/>
    </xf>
    <xf numFmtId="0" fontId="0" fillId="0" borderId="66" xfId="0" applyBorder="1" applyAlignment="1">
      <alignment horizontal="left"/>
    </xf>
    <xf numFmtId="0" fontId="0" fillId="0" borderId="95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13" fillId="0" borderId="7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73" xfId="0" applyFont="1" applyBorder="1" applyAlignment="1">
      <alignment horizontal="center" vertical="center"/>
    </xf>
    <xf numFmtId="0" fontId="13" fillId="0" borderId="78" xfId="0" applyFont="1" applyBorder="1" applyAlignment="1">
      <alignment horizontal="center" vertical="center"/>
    </xf>
    <xf numFmtId="0" fontId="13" fillId="0" borderId="97" xfId="0" applyFont="1" applyBorder="1" applyAlignment="1">
      <alignment horizontal="center" vertical="center"/>
    </xf>
    <xf numFmtId="0" fontId="13" fillId="0" borderId="79" xfId="0" applyFont="1" applyBorder="1" applyAlignment="1">
      <alignment horizontal="center" vertical="center"/>
    </xf>
    <xf numFmtId="0" fontId="0" fillId="0" borderId="92" xfId="0" applyBorder="1" applyAlignment="1">
      <alignment horizontal="left" vertical="top"/>
    </xf>
    <xf numFmtId="0" fontId="0" fillId="0" borderId="76" xfId="0" applyBorder="1" applyAlignment="1">
      <alignment horizontal="left" vertical="top"/>
    </xf>
    <xf numFmtId="0" fontId="0" fillId="0" borderId="7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73" xfId="0" applyBorder="1" applyAlignment="1">
      <alignment horizontal="left" vertical="top"/>
    </xf>
    <xf numFmtId="0" fontId="4" fillId="0" borderId="7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161" xfId="0" applyFont="1" applyBorder="1" applyAlignment="1">
      <alignment horizontal="right" vertical="center"/>
    </xf>
    <xf numFmtId="0" fontId="2" fillId="0" borderId="7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61" xfId="0" applyFont="1" applyBorder="1" applyAlignment="1">
      <alignment horizontal="left" vertical="center"/>
    </xf>
    <xf numFmtId="0" fontId="4" fillId="3" borderId="75" xfId="0" applyFont="1" applyFill="1" applyBorder="1" applyAlignment="1">
      <alignment horizontal="center" vertical="center"/>
    </xf>
    <xf numFmtId="0" fontId="4" fillId="3" borderId="92" xfId="0" applyFont="1" applyFill="1" applyBorder="1" applyAlignment="1">
      <alignment horizontal="center" vertical="center"/>
    </xf>
    <xf numFmtId="0" fontId="4" fillId="3" borderId="160" xfId="0" applyFont="1" applyFill="1" applyBorder="1" applyAlignment="1">
      <alignment horizontal="center" vertical="center"/>
    </xf>
    <xf numFmtId="0" fontId="11" fillId="0" borderId="77" xfId="0" applyFont="1" applyBorder="1" applyAlignment="1">
      <alignment horizontal="left" vertical="top"/>
    </xf>
    <xf numFmtId="0" fontId="11" fillId="0" borderId="18" xfId="0" applyFont="1" applyBorder="1" applyAlignment="1">
      <alignment horizontal="left" vertical="top"/>
    </xf>
    <xf numFmtId="0" fontId="11" fillId="0" borderId="73" xfId="0" applyFont="1" applyBorder="1" applyAlignment="1">
      <alignment horizontal="left" vertical="top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14" fontId="0" fillId="0" borderId="65" xfId="0" applyNumberFormat="1" applyBorder="1" applyAlignment="1">
      <alignment horizontal="left"/>
    </xf>
    <xf numFmtId="0" fontId="4" fillId="0" borderId="65" xfId="0" applyFont="1" applyBorder="1" applyAlignment="1">
      <alignment horizontal="center"/>
    </xf>
    <xf numFmtId="10" fontId="4" fillId="2" borderId="65" xfId="0" applyNumberFormat="1" applyFont="1" applyFill="1" applyBorder="1" applyAlignment="1">
      <alignment horizontal="center"/>
    </xf>
    <xf numFmtId="14" fontId="0" fillId="0" borderId="65" xfId="0" applyNumberFormat="1" applyBorder="1" applyAlignment="1">
      <alignment horizontal="left" vertical="center"/>
    </xf>
    <xf numFmtId="10" fontId="4" fillId="2" borderId="65" xfId="9" applyNumberFormat="1" applyFont="1" applyFill="1" applyBorder="1" applyAlignment="1">
      <alignment horizontal="center"/>
    </xf>
    <xf numFmtId="0" fontId="4" fillId="3" borderId="65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4" borderId="65" xfId="0" applyFont="1" applyFill="1" applyBorder="1" applyAlignment="1">
      <alignment horizontal="center" vertical="center"/>
    </xf>
    <xf numFmtId="0" fontId="4" fillId="4" borderId="65" xfId="0" applyFont="1" applyFill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164" fontId="0" fillId="0" borderId="65" xfId="0" applyNumberFormat="1" applyBorder="1" applyAlignment="1">
      <alignment horizontal="center" vertical="center"/>
    </xf>
    <xf numFmtId="10" fontId="0" fillId="0" borderId="65" xfId="0" applyNumberFormat="1" applyBorder="1" applyAlignment="1">
      <alignment horizontal="center" vertical="center"/>
    </xf>
    <xf numFmtId="0" fontId="0" fillId="3" borderId="65" xfId="0" applyFill="1" applyBorder="1"/>
    <xf numFmtId="0" fontId="4" fillId="3" borderId="65" xfId="0" applyFont="1" applyFill="1" applyBorder="1" applyAlignment="1">
      <alignment horizontal="right" vertical="center"/>
    </xf>
    <xf numFmtId="0" fontId="2" fillId="0" borderId="65" xfId="0" applyFont="1" applyBorder="1" applyAlignment="1">
      <alignment horizontal="right"/>
    </xf>
    <xf numFmtId="164" fontId="4" fillId="3" borderId="65" xfId="0" applyNumberFormat="1" applyFont="1" applyFill="1" applyBorder="1" applyAlignment="1">
      <alignment horizontal="center"/>
    </xf>
    <xf numFmtId="10" fontId="4" fillId="3" borderId="65" xfId="0" applyNumberFormat="1" applyFont="1" applyFill="1" applyBorder="1" applyAlignment="1">
      <alignment horizontal="center"/>
    </xf>
    <xf numFmtId="0" fontId="4" fillId="2" borderId="65" xfId="0" applyFont="1" applyFill="1" applyBorder="1" applyAlignment="1">
      <alignment horizontal="center" vertical="center" wrapText="1"/>
    </xf>
    <xf numFmtId="0" fontId="4" fillId="2" borderId="65" xfId="0" applyFont="1" applyFill="1" applyBorder="1"/>
    <xf numFmtId="14" fontId="11" fillId="2" borderId="65" xfId="0" applyNumberFormat="1" applyFont="1" applyFill="1" applyBorder="1" applyAlignment="1">
      <alignment horizontal="left"/>
    </xf>
    <xf numFmtId="14" fontId="0" fillId="2" borderId="65" xfId="0" applyNumberFormat="1" applyFill="1" applyBorder="1" applyAlignment="1">
      <alignment horizontal="left"/>
    </xf>
    <xf numFmtId="0" fontId="4" fillId="4" borderId="65" xfId="0" applyFont="1" applyFill="1" applyBorder="1" applyAlignment="1">
      <alignment horizontal="center"/>
    </xf>
    <xf numFmtId="0" fontId="4" fillId="4" borderId="65" xfId="0" applyFont="1" applyFill="1" applyBorder="1" applyAlignment="1">
      <alignment horizontal="center" vertical="center" wrapText="1"/>
    </xf>
    <xf numFmtId="0" fontId="4" fillId="3" borderId="65" xfId="0" applyFont="1" applyFill="1" applyBorder="1" applyAlignment="1">
      <alignment horizontal="center" vertical="center"/>
    </xf>
    <xf numFmtId="0" fontId="4" fillId="3" borderId="65" xfId="0" applyFont="1" applyFill="1" applyBorder="1" applyAlignment="1">
      <alignment horizontal="left" vertical="center"/>
    </xf>
    <xf numFmtId="4" fontId="4" fillId="3" borderId="65" xfId="0" applyNumberFormat="1" applyFont="1" applyFill="1" applyBorder="1" applyAlignment="1">
      <alignment horizontal="center" vertical="center"/>
    </xf>
    <xf numFmtId="0" fontId="11" fillId="0" borderId="65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left" vertical="center" wrapText="1"/>
    </xf>
    <xf numFmtId="4" fontId="0" fillId="0" borderId="65" xfId="0" applyNumberFormat="1" applyBorder="1" applyAlignment="1">
      <alignment horizontal="center" vertical="center"/>
    </xf>
    <xf numFmtId="0" fontId="4" fillId="5" borderId="65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left" vertical="center" wrapText="1"/>
    </xf>
    <xf numFmtId="4" fontId="4" fillId="5" borderId="65" xfId="0" applyNumberFormat="1" applyFont="1" applyFill="1" applyBorder="1" applyAlignment="1">
      <alignment horizontal="center" vertical="center"/>
    </xf>
    <xf numFmtId="0" fontId="0" fillId="0" borderId="65" xfId="0" applyBorder="1" applyAlignment="1">
      <alignment horizontal="center" vertical="center" wrapText="1"/>
    </xf>
    <xf numFmtId="0" fontId="4" fillId="3" borderId="65" xfId="0" applyFont="1" applyFill="1" applyBorder="1" applyAlignment="1">
      <alignment horizontal="center" vertical="center" wrapText="1"/>
    </xf>
    <xf numFmtId="0" fontId="4" fillId="3" borderId="65" xfId="0" applyFont="1" applyFill="1" applyBorder="1" applyAlignment="1">
      <alignment horizontal="left" vertical="center" wrapText="1"/>
    </xf>
    <xf numFmtId="0" fontId="0" fillId="2" borderId="65" xfId="0" applyFill="1" applyBorder="1" applyAlignment="1">
      <alignment horizontal="center" vertical="center" wrapText="1"/>
    </xf>
    <xf numFmtId="0" fontId="0" fillId="2" borderId="65" xfId="0" applyFill="1" applyBorder="1" applyAlignment="1">
      <alignment horizontal="left" vertical="center" wrapText="1"/>
    </xf>
    <xf numFmtId="0" fontId="11" fillId="2" borderId="65" xfId="0" applyFont="1" applyFill="1" applyBorder="1" applyAlignment="1">
      <alignment horizontal="center" vertical="center" wrapText="1"/>
    </xf>
    <xf numFmtId="0" fontId="4" fillId="12" borderId="65" xfId="0" applyFont="1" applyFill="1" applyBorder="1" applyAlignment="1">
      <alignment horizontal="center" vertical="center" wrapText="1"/>
    </xf>
    <xf numFmtId="0" fontId="4" fillId="12" borderId="65" xfId="0" applyFont="1" applyFill="1" applyBorder="1" applyAlignment="1">
      <alignment horizontal="left" vertical="center" wrapText="1"/>
    </xf>
    <xf numFmtId="4" fontId="4" fillId="12" borderId="65" xfId="0" applyNumberFormat="1" applyFont="1" applyFill="1" applyBorder="1" applyAlignment="1">
      <alignment horizontal="center" vertical="center" wrapText="1"/>
    </xf>
    <xf numFmtId="4" fontId="4" fillId="12" borderId="65" xfId="0" applyNumberFormat="1" applyFont="1" applyFill="1" applyBorder="1" applyAlignment="1">
      <alignment horizontal="center" vertical="center"/>
    </xf>
    <xf numFmtId="0" fontId="0" fillId="0" borderId="65" xfId="0" applyBorder="1" applyAlignment="1">
      <alignment horizontal="left" vertical="center" wrapText="1"/>
    </xf>
    <xf numFmtId="4" fontId="0" fillId="2" borderId="65" xfId="0" applyNumberFormat="1" applyFill="1" applyBorder="1" applyAlignment="1">
      <alignment horizontal="center" vertical="center" wrapText="1"/>
    </xf>
    <xf numFmtId="0" fontId="0" fillId="3" borderId="65" xfId="0" applyFill="1" applyBorder="1" applyAlignment="1">
      <alignment horizontal="center"/>
    </xf>
    <xf numFmtId="0" fontId="4" fillId="3" borderId="65" xfId="0" applyFont="1" applyFill="1" applyBorder="1"/>
    <xf numFmtId="4" fontId="4" fillId="3" borderId="65" xfId="0" applyNumberFormat="1" applyFont="1" applyFill="1" applyBorder="1" applyAlignment="1">
      <alignment horizontal="center"/>
    </xf>
    <xf numFmtId="0" fontId="4" fillId="11" borderId="65" xfId="0" applyFont="1" applyFill="1" applyBorder="1" applyAlignment="1">
      <alignment horizontal="center" vertical="center" wrapText="1"/>
    </xf>
    <xf numFmtId="0" fontId="11" fillId="0" borderId="65" xfId="0" applyFont="1" applyBorder="1" applyAlignment="1">
      <alignment horizontal="left" vertical="center"/>
    </xf>
    <xf numFmtId="0" fontId="20" fillId="11" borderId="65" xfId="0" applyFont="1" applyFill="1" applyBorder="1" applyAlignment="1">
      <alignment horizontal="left" vertical="top" wrapText="1"/>
    </xf>
    <xf numFmtId="0" fontId="13" fillId="11" borderId="65" xfId="0" applyFont="1" applyFill="1" applyBorder="1" applyAlignment="1">
      <alignment horizontal="left" vertical="top" wrapText="1"/>
    </xf>
    <xf numFmtId="0" fontId="0" fillId="0" borderId="54" xfId="0" applyBorder="1" applyAlignment="1">
      <alignment horizontal="center"/>
    </xf>
    <xf numFmtId="0" fontId="0" fillId="0" borderId="162" xfId="0" applyBorder="1" applyAlignment="1">
      <alignment horizontal="center"/>
    </xf>
    <xf numFmtId="0" fontId="0" fillId="0" borderId="155" xfId="0" applyBorder="1" applyAlignment="1">
      <alignment horizontal="center"/>
    </xf>
    <xf numFmtId="2" fontId="0" fillId="0" borderId="65" xfId="0" applyNumberFormat="1" applyBorder="1" applyAlignment="1">
      <alignment horizontal="center" vertical="center"/>
    </xf>
    <xf numFmtId="10" fontId="0" fillId="0" borderId="65" xfId="9" applyNumberFormat="1" applyFont="1" applyBorder="1" applyAlignment="1">
      <alignment horizontal="center" vertical="center"/>
    </xf>
    <xf numFmtId="9" fontId="0" fillId="0" borderId="65" xfId="9" applyFont="1" applyBorder="1" applyAlignment="1">
      <alignment horizontal="center" vertical="center"/>
    </xf>
    <xf numFmtId="4" fontId="4" fillId="0" borderId="65" xfId="0" applyNumberFormat="1" applyFont="1" applyBorder="1" applyAlignment="1">
      <alignment horizontal="center" vertical="center"/>
    </xf>
    <xf numFmtId="2" fontId="4" fillId="3" borderId="65" xfId="0" applyNumberFormat="1" applyFont="1" applyFill="1" applyBorder="1" applyAlignment="1">
      <alignment horizontal="center" vertical="center"/>
    </xf>
    <xf numFmtId="0" fontId="4" fillId="9" borderId="65" xfId="3" applyFont="1" applyFill="1" applyBorder="1" applyAlignment="1">
      <alignment horizontal="center" vertical="center"/>
    </xf>
    <xf numFmtId="0" fontId="2" fillId="10" borderId="65" xfId="3" applyFont="1" applyFill="1" applyBorder="1" applyAlignment="1">
      <alignment horizontal="center"/>
    </xf>
    <xf numFmtId="0" fontId="11" fillId="2" borderId="156" xfId="3" applyFill="1" applyBorder="1" applyAlignment="1">
      <alignment horizontal="center"/>
    </xf>
    <xf numFmtId="0" fontId="11" fillId="2" borderId="90" xfId="3" applyFill="1" applyBorder="1" applyAlignment="1">
      <alignment horizontal="center"/>
    </xf>
    <xf numFmtId="0" fontId="11" fillId="2" borderId="159" xfId="3" applyFill="1" applyBorder="1" applyAlignment="1">
      <alignment horizontal="center"/>
    </xf>
  </cellXfs>
  <cellStyles count="11">
    <cellStyle name="Normal" xfId="0" builtinId="0"/>
    <cellStyle name="Normal 2" xfId="2"/>
    <cellStyle name="Normal 2 2" xfId="5"/>
    <cellStyle name="Normal 2 3" xfId="6"/>
    <cellStyle name="Normal 2 4" xfId="10"/>
    <cellStyle name="Normal 282 2" xfId="1"/>
    <cellStyle name="Normal 3" xfId="3"/>
    <cellStyle name="Normal 3 2" xfId="7"/>
    <cellStyle name="Normal 6" xfId="4"/>
    <cellStyle name="Porcentagem" xfId="9" builtinId="5"/>
    <cellStyle name="Porcentagem 2 3" xfId="8"/>
  </cellStyles>
  <dxfs count="18"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</font>
      <fill>
        <patternFill patternType="solid">
          <fgColor rgb="FFC0C0C0"/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</font>
      <fill>
        <patternFill patternType="solid">
          <fgColor rgb="FFC0C0C0"/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</font>
      <fill>
        <patternFill patternType="solid">
          <fgColor rgb="FFC0C0C0"/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</font>
      <fill>
        <patternFill patternType="solid">
          <fgColor rgb="FFC0C0C0"/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</font>
      <fill>
        <patternFill patternType="solid">
          <fgColor rgb="FFC0C0C0"/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</font>
      <fill>
        <patternFill patternType="solid">
          <fgColor rgb="FFC0C0C0"/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</font>
      <fill>
        <patternFill patternType="solid">
          <fgColor rgb="FFC0C0C0"/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</font>
      <fill>
        <patternFill patternType="solid">
          <fgColor rgb="FFC0C0C0"/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</font>
      <fill>
        <patternFill patternType="solid">
          <fgColor rgb="FFC0C0C0"/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26</xdr:row>
      <xdr:rowOff>0</xdr:rowOff>
    </xdr:from>
    <xdr:to>
      <xdr:col>2</xdr:col>
      <xdr:colOff>876300</xdr:colOff>
      <xdr:row>27</xdr:row>
      <xdr:rowOff>190500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D1045B-0BF1-43D6-8075-F5A4C3FD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5057775"/>
          <a:ext cx="35052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219075</xdr:colOff>
      <xdr:row>17</xdr:row>
      <xdr:rowOff>57150</xdr:rowOff>
    </xdr:from>
    <xdr:to>
      <xdr:col>3</xdr:col>
      <xdr:colOff>0</xdr:colOff>
      <xdr:row>19</xdr:row>
      <xdr:rowOff>47625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982A1FD-70EF-4F7F-A346-BA262278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3314700"/>
          <a:ext cx="35052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Escala/Desktop/PREFEITURA%20INDIAVA&#205;/ESCOLA%20PAULINO%20MODESTO/00-%20Or&#231;amento/Users/JOAO%20GUSTAVO/Downloads/PLANILHA%20CRECHE%20MARCELINO%20-%20N&#195;O%20DESONERADO%20CORRETO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Escala/Desktop/PREFEITURA%20INDIAVA&#205;/CLUBE%20INDIAVA&#205;%20ALTERADO/3-%20AN&#193;LISE/Users/JOAO%20GUSTAVO/Downloads/PLANILHA%20CRECHE%20MARCELINO%20-%20N&#195;O%20DESONERADO%20CORRETO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RIÇÃO"/>
      <sheetName val="PLANILHA NÃO DESONERADO"/>
      <sheetName val="COMPOSIÇÕES"/>
      <sheetName val="COTAÇÕES"/>
      <sheetName val="CRONOGRAMA"/>
      <sheetName val="BDI NÃO DESONERADO"/>
    </sheetNames>
    <sheetDataSet>
      <sheetData sheetId="0" refreshError="1"/>
      <sheetData sheetId="1" refreshError="1">
        <row r="1">
          <cell r="A1" t="str">
            <v>Obra:</v>
          </cell>
        </row>
        <row r="2">
          <cell r="A2" t="str">
            <v>Proprietário:</v>
          </cell>
        </row>
        <row r="3">
          <cell r="A3" t="str">
            <v>Local:</v>
          </cell>
        </row>
        <row r="4">
          <cell r="A4" t="str">
            <v>Data: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RIÇÃO"/>
      <sheetName val="PLANILHA NÃO DESONERADO"/>
      <sheetName val="COMPOSIÇÕES"/>
      <sheetName val="COTAÇÕES"/>
      <sheetName val="CRONOGRAMA"/>
      <sheetName val="BDI NÃO DESONERADO"/>
    </sheetNames>
    <sheetDataSet>
      <sheetData sheetId="0"/>
      <sheetData sheetId="1">
        <row r="1">
          <cell r="A1" t="str">
            <v>Obra:</v>
          </cell>
        </row>
        <row r="2">
          <cell r="A2" t="str">
            <v>Proprietário:</v>
          </cell>
        </row>
        <row r="3">
          <cell r="A3" t="str">
            <v>Local:</v>
          </cell>
        </row>
        <row r="4">
          <cell r="A4" t="str">
            <v>Data: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3"/>
  <sheetViews>
    <sheetView view="pageLayout" zoomScaleNormal="100" workbookViewId="0">
      <selection activeCell="A24" sqref="A24"/>
    </sheetView>
  </sheetViews>
  <sheetFormatPr defaultColWidth="12.625" defaultRowHeight="15" customHeight="1" x14ac:dyDescent="0.2"/>
  <cols>
    <col min="1" max="1" width="10.875" customWidth="1"/>
    <col min="2" max="4" width="7.625" customWidth="1"/>
    <col min="5" max="5" width="46.125" customWidth="1"/>
    <col min="6" max="6" width="25.875" customWidth="1"/>
    <col min="7" max="26" width="7.625" customWidth="1"/>
  </cols>
  <sheetData>
    <row r="1" spans="1:7" ht="14.25" x14ac:dyDescent="0.2">
      <c r="A1" s="1" t="s">
        <v>0</v>
      </c>
      <c r="B1" s="225" t="str">
        <f>PLANILHA!B1</f>
        <v>Construção de rede de drenagem pluvial</v>
      </c>
      <c r="C1" s="226"/>
      <c r="D1" s="226"/>
      <c r="E1" s="226"/>
      <c r="F1" s="227"/>
    </row>
    <row r="2" spans="1:7" ht="14.25" x14ac:dyDescent="0.2">
      <c r="A2" s="2" t="s">
        <v>1</v>
      </c>
      <c r="B2" s="228" t="e">
        <f>#REF!</f>
        <v>#REF!</v>
      </c>
      <c r="C2" s="229"/>
      <c r="D2" s="229"/>
      <c r="E2" s="229"/>
      <c r="F2" s="230"/>
    </row>
    <row r="3" spans="1:7" ht="14.25" x14ac:dyDescent="0.2">
      <c r="A3" s="2" t="s">
        <v>2</v>
      </c>
      <c r="B3" s="228" t="str">
        <f>PLANILHA!B3</f>
        <v>Avenida Governador Jayme Campos</v>
      </c>
      <c r="C3" s="229"/>
      <c r="D3" s="229"/>
      <c r="E3" s="229"/>
      <c r="F3" s="230"/>
    </row>
    <row r="4" spans="1:7" x14ac:dyDescent="0.25">
      <c r="A4" s="3" t="s">
        <v>3</v>
      </c>
      <c r="B4" s="231" t="str">
        <f>PLANILHA!B4</f>
        <v>30 de julho de 2021</v>
      </c>
      <c r="C4" s="232"/>
      <c r="D4" s="232"/>
      <c r="E4" s="232"/>
      <c r="F4" s="233"/>
      <c r="G4" s="4"/>
    </row>
    <row r="5" spans="1:7" x14ac:dyDescent="0.2">
      <c r="A5" s="234" t="s">
        <v>4</v>
      </c>
      <c r="B5" s="235"/>
      <c r="C5" s="235"/>
      <c r="D5" s="235"/>
      <c r="E5" s="235"/>
      <c r="F5" s="236"/>
    </row>
    <row r="6" spans="1:7" x14ac:dyDescent="0.2">
      <c r="A6" s="237"/>
      <c r="B6" s="238"/>
      <c r="C6" s="238"/>
      <c r="D6" s="238"/>
      <c r="E6" s="238"/>
      <c r="F6" s="239"/>
    </row>
    <row r="7" spans="1:7" x14ac:dyDescent="0.2">
      <c r="A7" s="5" t="s">
        <v>5</v>
      </c>
      <c r="B7" s="240" t="s">
        <v>6</v>
      </c>
      <c r="C7" s="235"/>
      <c r="D7" s="235"/>
      <c r="E7" s="241"/>
      <c r="F7" s="6" t="s">
        <v>7</v>
      </c>
    </row>
    <row r="8" spans="1:7" ht="14.25" x14ac:dyDescent="0.2">
      <c r="A8" s="7" t="s">
        <v>8</v>
      </c>
      <c r="B8" s="245" t="str">
        <f>PLANILHA!D7</f>
        <v>SERVIÇOS PRELIMINARES</v>
      </c>
      <c r="C8" s="246"/>
      <c r="D8" s="246"/>
      <c r="E8" s="247"/>
      <c r="F8" s="8" t="e">
        <f>PLANILHA!I7</f>
        <v>#REF!</v>
      </c>
    </row>
    <row r="9" spans="1:7" ht="14.25" x14ac:dyDescent="0.2">
      <c r="A9" s="9" t="s">
        <v>9</v>
      </c>
      <c r="B9" s="248" t="str">
        <f>PLANILHA!D13</f>
        <v>MOVIMENTAÇÃO DE TERRA</v>
      </c>
      <c r="C9" s="229"/>
      <c r="D9" s="229"/>
      <c r="E9" s="249"/>
      <c r="F9" s="11">
        <f>PLANILHA!I13</f>
        <v>111628.34357606295</v>
      </c>
    </row>
    <row r="10" spans="1:7" ht="14.25" x14ac:dyDescent="0.2">
      <c r="A10" s="9" t="s">
        <v>10</v>
      </c>
      <c r="B10" s="250" t="str">
        <f>PLANILHA!D22</f>
        <v>REDE DE DRENAGEM</v>
      </c>
      <c r="C10" s="229"/>
      <c r="D10" s="229"/>
      <c r="E10" s="249"/>
      <c r="F10" s="11" t="e">
        <f>PLANILHA!I22</f>
        <v>#REF!</v>
      </c>
    </row>
    <row r="11" spans="1:7" thickBot="1" x14ac:dyDescent="0.25">
      <c r="A11" s="9" t="s">
        <v>11</v>
      </c>
      <c r="B11" s="250" t="str">
        <f>PLANILHA!D39</f>
        <v>TRANSPORTE</v>
      </c>
      <c r="C11" s="229"/>
      <c r="D11" s="229"/>
      <c r="E11" s="249"/>
      <c r="F11" s="11">
        <f>PLANILHA!I39</f>
        <v>8585.1133804800011</v>
      </c>
    </row>
    <row r="12" spans="1:7" ht="15.75" thickBot="1" x14ac:dyDescent="0.3">
      <c r="A12" s="95"/>
      <c r="B12" s="242" t="s">
        <v>12</v>
      </c>
      <c r="C12" s="243"/>
      <c r="D12" s="243"/>
      <c r="E12" s="244"/>
      <c r="F12" s="97" t="e">
        <f>SUM(F8:F11)</f>
        <v>#REF!</v>
      </c>
    </row>
    <row r="13" spans="1:7" ht="15" customHeight="1" x14ac:dyDescent="0.2">
      <c r="A13" s="221" t="s">
        <v>137</v>
      </c>
      <c r="B13" s="213"/>
      <c r="C13" s="213"/>
      <c r="D13" s="213"/>
      <c r="E13" s="213" t="s">
        <v>138</v>
      </c>
      <c r="F13" s="217" t="s">
        <v>148</v>
      </c>
    </row>
    <row r="14" spans="1:7" ht="15.75" customHeight="1" x14ac:dyDescent="0.2">
      <c r="A14" s="222"/>
      <c r="B14" s="214"/>
      <c r="C14" s="214"/>
      <c r="D14" s="214"/>
      <c r="E14" s="214"/>
      <c r="F14" s="218"/>
    </row>
    <row r="15" spans="1:7" ht="15.75" customHeight="1" x14ac:dyDescent="0.2">
      <c r="A15" s="216"/>
      <c r="B15" s="215"/>
      <c r="C15" s="215"/>
      <c r="D15" s="215"/>
      <c r="E15" s="215"/>
      <c r="F15" s="219"/>
    </row>
    <row r="16" spans="1:7" ht="15.75" customHeight="1" x14ac:dyDescent="0.2">
      <c r="A16" s="216"/>
      <c r="B16" s="215"/>
      <c r="C16" s="215"/>
      <c r="D16" s="215"/>
      <c r="E16" s="215"/>
      <c r="F16" s="219"/>
    </row>
    <row r="17" spans="1:6" ht="15.75" customHeight="1" x14ac:dyDescent="0.2">
      <c r="A17" s="223" t="s">
        <v>13</v>
      </c>
      <c r="B17" s="224"/>
      <c r="C17" s="224"/>
      <c r="D17" s="224"/>
      <c r="E17" s="96" t="s">
        <v>140</v>
      </c>
      <c r="F17" s="219"/>
    </row>
    <row r="18" spans="1:6" ht="15.75" customHeight="1" thickBot="1" x14ac:dyDescent="0.25">
      <c r="A18" s="211" t="s">
        <v>14</v>
      </c>
      <c r="B18" s="212"/>
      <c r="C18" s="212"/>
      <c r="D18" s="212"/>
      <c r="E18" s="98" t="s">
        <v>139</v>
      </c>
      <c r="F18" s="220"/>
    </row>
    <row r="19" spans="1:6" ht="15.75" customHeight="1" x14ac:dyDescent="0.2"/>
    <row r="20" spans="1:6" ht="15.75" customHeight="1" x14ac:dyDescent="0.2"/>
    <row r="21" spans="1:6" ht="15.75" customHeight="1" x14ac:dyDescent="0.2"/>
    <row r="22" spans="1:6" ht="15.75" customHeight="1" x14ac:dyDescent="0.2"/>
    <row r="23" spans="1:6" ht="15.75" customHeight="1" x14ac:dyDescent="0.2"/>
    <row r="24" spans="1:6" ht="15.75" customHeight="1" x14ac:dyDescent="0.2"/>
    <row r="25" spans="1:6" ht="15.75" customHeight="1" x14ac:dyDescent="0.2"/>
    <row r="26" spans="1:6" ht="15.75" customHeight="1" x14ac:dyDescent="0.2"/>
    <row r="27" spans="1:6" ht="15.75" customHeight="1" x14ac:dyDescent="0.2"/>
    <row r="28" spans="1:6" ht="15.75" customHeight="1" x14ac:dyDescent="0.2"/>
    <row r="29" spans="1:6" ht="15.75" customHeight="1" x14ac:dyDescent="0.2"/>
    <row r="30" spans="1:6" ht="15.75" customHeight="1" x14ac:dyDescent="0.2"/>
    <row r="31" spans="1:6" ht="15.75" customHeight="1" x14ac:dyDescent="0.2"/>
    <row r="32" spans="1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</sheetData>
  <mergeCells count="20">
    <mergeCell ref="A6:F6"/>
    <mergeCell ref="B7:E7"/>
    <mergeCell ref="B12:E12"/>
    <mergeCell ref="B8:E8"/>
    <mergeCell ref="B9:E9"/>
    <mergeCell ref="B10:E10"/>
    <mergeCell ref="B11:E11"/>
    <mergeCell ref="B1:F1"/>
    <mergeCell ref="B2:F2"/>
    <mergeCell ref="B3:F3"/>
    <mergeCell ref="B4:F4"/>
    <mergeCell ref="A5:F5"/>
    <mergeCell ref="A18:D18"/>
    <mergeCell ref="E13:E14"/>
    <mergeCell ref="E15:E16"/>
    <mergeCell ref="A15:D16"/>
    <mergeCell ref="F13:F14"/>
    <mergeCell ref="F15:F18"/>
    <mergeCell ref="A13:D14"/>
    <mergeCell ref="A17:D17"/>
  </mergeCells>
  <pageMargins left="0.7" right="0.7" top="1.1721874999999999" bottom="0.89583333333333337" header="0" footer="0"/>
  <pageSetup paperSize="9" orientation="landscape" r:id="rId1"/>
  <headerFooter>
    <oddFooter>&amp;CRua Rui Barbosa, 310 - Centro - Araputanga-MT – Cel: (65) 99613-9294 E-mail: carolina.o.almeida@hotmail.com / escalaprojeta@gmail.com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4"/>
  <sheetViews>
    <sheetView tabSelected="1" view="pageBreakPreview" zoomScaleNormal="100" zoomScaleSheetLayoutView="100" zoomScalePageLayoutView="70" workbookViewId="0"/>
  </sheetViews>
  <sheetFormatPr defaultColWidth="12.625" defaultRowHeight="15" customHeight="1" x14ac:dyDescent="0.2"/>
  <cols>
    <col min="1" max="1" width="10.875" customWidth="1"/>
    <col min="2" max="3" width="7.625" customWidth="1"/>
    <col min="4" max="4" width="31.625" customWidth="1"/>
    <col min="5" max="5" width="28.5" customWidth="1"/>
    <col min="6" max="6" width="18.25" customWidth="1"/>
    <col min="7" max="7" width="18.375" customWidth="1"/>
    <col min="8" max="26" width="7.625" customWidth="1"/>
  </cols>
  <sheetData>
    <row r="1" spans="1:7" x14ac:dyDescent="0.25">
      <c r="A1" s="175" t="s">
        <v>0</v>
      </c>
      <c r="B1" s="430" t="str">
        <f>'PLANILHA ORÇAMENTÁRIA'!B1:F1</f>
        <v>Construção de muros e calçadas em casas populares</v>
      </c>
      <c r="C1" s="430"/>
      <c r="D1" s="430"/>
      <c r="E1" s="430"/>
      <c r="F1" s="430"/>
      <c r="G1" s="514" t="s">
        <v>284</v>
      </c>
    </row>
    <row r="2" spans="1:7" x14ac:dyDescent="0.25">
      <c r="A2" s="175" t="s">
        <v>1</v>
      </c>
      <c r="B2" s="430" t="str">
        <f>'PLANILHA ORÇAMENTÁRIA'!B2:F2</f>
        <v>Prefeitura Municipal de Araputanga</v>
      </c>
      <c r="C2" s="430"/>
      <c r="D2" s="430"/>
      <c r="E2" s="430"/>
      <c r="F2" s="430"/>
      <c r="G2" s="515" t="s">
        <v>429</v>
      </c>
    </row>
    <row r="3" spans="1:7" x14ac:dyDescent="0.25">
      <c r="A3" s="175" t="s">
        <v>2</v>
      </c>
      <c r="B3" s="430" t="str">
        <f>'PLANILHA ORÇAMENTÁRIA'!B3:F3</f>
        <v>Quadra 14 e 04, Loteamento carvalho e Quadra 26 Loteamento Vilage, Araputanga-MT.</v>
      </c>
      <c r="C3" s="430"/>
      <c r="D3" s="430"/>
      <c r="E3" s="430"/>
      <c r="F3" s="430"/>
      <c r="G3" s="514" t="s">
        <v>260</v>
      </c>
    </row>
    <row r="4" spans="1:7" ht="15" customHeight="1" x14ac:dyDescent="0.25">
      <c r="A4" s="176" t="s">
        <v>3</v>
      </c>
      <c r="B4" s="516">
        <v>45905</v>
      </c>
      <c r="C4" s="430"/>
      <c r="D4" s="430"/>
      <c r="E4" s="430"/>
      <c r="F4" s="430"/>
      <c r="G4" s="517">
        <f>BDI!D21</f>
        <v>0.26240000000000002</v>
      </c>
    </row>
    <row r="5" spans="1:7" x14ac:dyDescent="0.2">
      <c r="A5" s="518" t="s">
        <v>289</v>
      </c>
      <c r="B5" s="518"/>
      <c r="C5" s="518"/>
      <c r="D5" s="518"/>
      <c r="E5" s="518"/>
      <c r="F5" s="518"/>
      <c r="G5" s="518"/>
    </row>
    <row r="6" spans="1:7" x14ac:dyDescent="0.2">
      <c r="A6" s="519"/>
      <c r="B6" s="519"/>
      <c r="C6" s="519"/>
      <c r="D6" s="519"/>
      <c r="E6" s="519"/>
      <c r="F6" s="519"/>
      <c r="G6" s="519"/>
    </row>
    <row r="7" spans="1:7" x14ac:dyDescent="0.2">
      <c r="A7" s="520" t="s">
        <v>74</v>
      </c>
      <c r="B7" s="521" t="s">
        <v>6</v>
      </c>
      <c r="C7" s="480"/>
      <c r="D7" s="480"/>
      <c r="E7" s="480"/>
      <c r="F7" s="520" t="s">
        <v>279</v>
      </c>
      <c r="G7" s="520" t="s">
        <v>280</v>
      </c>
    </row>
    <row r="8" spans="1:7" ht="14.25" x14ac:dyDescent="0.2">
      <c r="A8" s="522" t="s">
        <v>8</v>
      </c>
      <c r="B8" s="523" t="str">
        <f>'PLANILHA ORÇAMENTÁRIA'!D7</f>
        <v>ADMINISTRAÇÃO DE OBRA</v>
      </c>
      <c r="C8" s="480"/>
      <c r="D8" s="480"/>
      <c r="E8" s="480"/>
      <c r="F8" s="524">
        <f>'PLANILHA ORÇAMENTÁRIA'!I7</f>
        <v>4968.2</v>
      </c>
      <c r="G8" s="525">
        <f>(F8/$F$13)</f>
        <v>3.4313522117009909E-3</v>
      </c>
    </row>
    <row r="9" spans="1:7" ht="14.25" x14ac:dyDescent="0.2">
      <c r="A9" s="210" t="s">
        <v>9</v>
      </c>
      <c r="B9" s="523" t="str">
        <f>'PLANILHA ORÇAMENTÁRIA'!D9</f>
        <v>SERVIÇOS PRELIMINARES</v>
      </c>
      <c r="C9" s="480"/>
      <c r="D9" s="480"/>
      <c r="E9" s="480"/>
      <c r="F9" s="524">
        <f>'PLANILHA ORÇAMENTÁRIA'!I9</f>
        <v>7323.12</v>
      </c>
      <c r="G9" s="525">
        <f>(F9/$F$13)</f>
        <v>5.0578084635384572E-3</v>
      </c>
    </row>
    <row r="10" spans="1:7" ht="14.25" x14ac:dyDescent="0.2">
      <c r="A10" s="210" t="s">
        <v>10</v>
      </c>
      <c r="B10" s="523" t="str">
        <f>'PLANILHA ORÇAMENTÁRIA'!D12</f>
        <v>CONSTRUÇÃO DE MURO</v>
      </c>
      <c r="C10" s="480"/>
      <c r="D10" s="480"/>
      <c r="E10" s="480"/>
      <c r="F10" s="524">
        <f>'PLANILHA ORÇAMENTÁRIA'!I12</f>
        <v>832629.13000000012</v>
      </c>
      <c r="G10" s="525">
        <f>(F10/$F$13)</f>
        <v>0.57506618226966955</v>
      </c>
    </row>
    <row r="11" spans="1:7" ht="14.25" x14ac:dyDescent="0.2">
      <c r="A11" s="210" t="s">
        <v>11</v>
      </c>
      <c r="B11" s="523" t="str">
        <f>'PLANILHA ORÇAMENTÁRIA'!D29</f>
        <v>REVESTIMENTOS E PINTURAS</v>
      </c>
      <c r="C11" s="480"/>
      <c r="D11" s="480"/>
      <c r="E11" s="480"/>
      <c r="F11" s="524">
        <f>'PLANILHA ORÇAMENTÁRIA'!I29</f>
        <v>505506.55999999994</v>
      </c>
      <c r="G11" s="525">
        <f>(F11/$F$13)</f>
        <v>0.34913470727534307</v>
      </c>
    </row>
    <row r="12" spans="1:7" ht="14.25" x14ac:dyDescent="0.2">
      <c r="A12" s="210" t="s">
        <v>278</v>
      </c>
      <c r="B12" s="523" t="str">
        <f>'PLANILHA ORÇAMENTÁRIA'!D34</f>
        <v>CALÇADA</v>
      </c>
      <c r="C12" s="480"/>
      <c r="D12" s="480"/>
      <c r="E12" s="480"/>
      <c r="F12" s="524">
        <f>'PLANILHA ORÇAMENTÁRIA'!I34</f>
        <v>97457</v>
      </c>
      <c r="G12" s="525">
        <f>(F12/$F$13)</f>
        <v>6.7309949779747899E-2</v>
      </c>
    </row>
    <row r="13" spans="1:7" x14ac:dyDescent="0.25">
      <c r="A13" s="526"/>
      <c r="B13" s="527" t="s">
        <v>12</v>
      </c>
      <c r="C13" s="528"/>
      <c r="D13" s="528"/>
      <c r="E13" s="528"/>
      <c r="F13" s="529">
        <f>SUM(F8:F12)</f>
        <v>1447884.01</v>
      </c>
      <c r="G13" s="530">
        <f>SUM(G8:G12)</f>
        <v>0.99999999999999989</v>
      </c>
    </row>
    <row r="14" spans="1:7" ht="15" customHeight="1" x14ac:dyDescent="0.2">
      <c r="A14" s="214" t="s">
        <v>137</v>
      </c>
      <c r="B14" s="214"/>
      <c r="C14" s="214"/>
      <c r="D14" s="214"/>
      <c r="E14" s="214"/>
      <c r="F14" s="563"/>
      <c r="G14" s="564"/>
    </row>
    <row r="15" spans="1:7" ht="26.25" customHeight="1" x14ac:dyDescent="0.2">
      <c r="A15" s="214"/>
      <c r="B15" s="214"/>
      <c r="C15" s="214"/>
      <c r="D15" s="214"/>
      <c r="E15" s="214"/>
      <c r="F15" s="564"/>
      <c r="G15" s="564"/>
    </row>
    <row r="16" spans="1:7" ht="15.75" customHeight="1" x14ac:dyDescent="0.2">
      <c r="A16" s="215"/>
      <c r="B16" s="215"/>
      <c r="C16" s="215"/>
      <c r="D16" s="215"/>
      <c r="E16" s="215"/>
      <c r="F16" s="430" t="s">
        <v>142</v>
      </c>
      <c r="G16" s="430"/>
    </row>
    <row r="17" spans="1:7" ht="15.75" customHeight="1" x14ac:dyDescent="0.2">
      <c r="A17" s="215"/>
      <c r="B17" s="215"/>
      <c r="C17" s="215"/>
      <c r="D17" s="215"/>
      <c r="E17" s="215"/>
      <c r="F17" s="565"/>
      <c r="G17" s="263"/>
    </row>
    <row r="18" spans="1:7" ht="15.75" customHeight="1" x14ac:dyDescent="0.2">
      <c r="A18" s="224" t="s">
        <v>13</v>
      </c>
      <c r="B18" s="224"/>
      <c r="C18" s="224"/>
      <c r="D18" s="224"/>
      <c r="E18" s="224"/>
      <c r="F18" s="253"/>
      <c r="G18" s="566"/>
    </row>
    <row r="19" spans="1:7" ht="15.75" customHeight="1" x14ac:dyDescent="0.2">
      <c r="A19" s="224" t="s">
        <v>433</v>
      </c>
      <c r="B19" s="224"/>
      <c r="C19" s="224"/>
      <c r="D19" s="224"/>
      <c r="E19" s="224"/>
      <c r="F19" s="567"/>
      <c r="G19" s="266"/>
    </row>
    <row r="20" spans="1:7" ht="15.75" customHeight="1" x14ac:dyDescent="0.2"/>
    <row r="21" spans="1:7" ht="15.75" customHeight="1" x14ac:dyDescent="0.2"/>
    <row r="22" spans="1:7" ht="15.75" customHeight="1" x14ac:dyDescent="0.2"/>
    <row r="23" spans="1:7" ht="15.75" customHeight="1" x14ac:dyDescent="0.2"/>
    <row r="24" spans="1:7" ht="15.75" customHeight="1" x14ac:dyDescent="0.2"/>
    <row r="25" spans="1:7" ht="15.75" customHeight="1" x14ac:dyDescent="0.2"/>
    <row r="26" spans="1:7" ht="15.75" customHeight="1" x14ac:dyDescent="0.2"/>
    <row r="27" spans="1:7" ht="15.75" customHeight="1" x14ac:dyDescent="0.2"/>
    <row r="28" spans="1:7" ht="15.75" customHeight="1" x14ac:dyDescent="0.2"/>
    <row r="29" spans="1:7" ht="15.75" customHeight="1" x14ac:dyDescent="0.2"/>
    <row r="30" spans="1:7" ht="15.75" customHeight="1" x14ac:dyDescent="0.2"/>
    <row r="31" spans="1:7" ht="15.75" customHeight="1" x14ac:dyDescent="0.2"/>
    <row r="32" spans="1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</sheetData>
  <mergeCells count="20">
    <mergeCell ref="A14:E15"/>
    <mergeCell ref="A16:E17"/>
    <mergeCell ref="A18:E18"/>
    <mergeCell ref="A19:E19"/>
    <mergeCell ref="F16:G16"/>
    <mergeCell ref="F17:G19"/>
    <mergeCell ref="B9:E9"/>
    <mergeCell ref="A6:G6"/>
    <mergeCell ref="F14:G15"/>
    <mergeCell ref="B1:F1"/>
    <mergeCell ref="B2:F2"/>
    <mergeCell ref="B3:F3"/>
    <mergeCell ref="B4:F4"/>
    <mergeCell ref="B13:E13"/>
    <mergeCell ref="B10:E10"/>
    <mergeCell ref="B11:E11"/>
    <mergeCell ref="B12:E12"/>
    <mergeCell ref="B7:E7"/>
    <mergeCell ref="A5:G5"/>
    <mergeCell ref="B8:E8"/>
  </mergeCells>
  <phoneticPr fontId="15" type="noConversion"/>
  <pageMargins left="0.25" right="0.25" top="1.5208333333333333" bottom="0.90773809523809523" header="0.3" footer="0.3"/>
  <pageSetup paperSize="9" scale="80" fitToWidth="0" fitToHeight="0" orientation="landscape" r:id="rId1"/>
  <headerFooter>
    <oddHeader>&amp;C&amp;G</oddHeader>
    <oddFooter>&amp;CRua Antenor Mamedes, nº 911, Fone/Fax (65) 3261-1736
CEP: 78.260-000 – Araputanga – Mato Grosso
e-mail: engenharia@araputanga.mt.gov.br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2"/>
  <sheetViews>
    <sheetView view="pageLayout" topLeftCell="A7" zoomScaleNormal="100" workbookViewId="0">
      <selection activeCell="F26" sqref="F26"/>
    </sheetView>
  </sheetViews>
  <sheetFormatPr defaultColWidth="12.625" defaultRowHeight="15" customHeight="1" x14ac:dyDescent="0.2"/>
  <cols>
    <col min="1" max="2" width="16.5" customWidth="1"/>
    <col min="3" max="3" width="13.375" customWidth="1"/>
    <col min="4" max="4" width="60.625" customWidth="1"/>
    <col min="5" max="5" width="7" customWidth="1"/>
    <col min="6" max="6" width="11.75" customWidth="1"/>
    <col min="7" max="7" width="14.25" customWidth="1"/>
    <col min="8" max="8" width="23.625" customWidth="1"/>
    <col min="9" max="9" width="23.875" customWidth="1"/>
    <col min="10" max="27" width="7.625" customWidth="1"/>
  </cols>
  <sheetData>
    <row r="1" spans="1:27" ht="15.75" thickBot="1" x14ac:dyDescent="0.3">
      <c r="A1" s="13" t="s">
        <v>0</v>
      </c>
      <c r="B1" s="276" t="s">
        <v>145</v>
      </c>
      <c r="C1" s="277"/>
      <c r="D1" s="277"/>
      <c r="E1" s="277"/>
      <c r="F1" s="277"/>
      <c r="G1" s="282" t="s">
        <v>15</v>
      </c>
      <c r="H1" s="283"/>
      <c r="I1" s="284"/>
    </row>
    <row r="2" spans="1:27" ht="15.75" thickBot="1" x14ac:dyDescent="0.3">
      <c r="A2" s="13" t="s">
        <v>1</v>
      </c>
      <c r="B2" s="276" t="s">
        <v>146</v>
      </c>
      <c r="C2" s="277"/>
      <c r="D2" s="277"/>
      <c r="E2" s="277"/>
      <c r="F2" s="277"/>
      <c r="G2" s="285"/>
      <c r="H2" s="286"/>
      <c r="I2" s="287"/>
    </row>
    <row r="3" spans="1:27" x14ac:dyDescent="0.25">
      <c r="A3" s="13" t="s">
        <v>2</v>
      </c>
      <c r="B3" s="276" t="s">
        <v>234</v>
      </c>
      <c r="C3" s="277"/>
      <c r="D3" s="277"/>
      <c r="E3" s="277"/>
      <c r="F3" s="277"/>
      <c r="G3" s="280" t="s">
        <v>210</v>
      </c>
      <c r="H3" s="281"/>
      <c r="I3" s="85" t="s">
        <v>16</v>
      </c>
    </row>
    <row r="4" spans="1:27" ht="15.75" thickBot="1" x14ac:dyDescent="0.3">
      <c r="A4" s="14" t="s">
        <v>3</v>
      </c>
      <c r="B4" s="278" t="s">
        <v>147</v>
      </c>
      <c r="C4" s="279"/>
      <c r="D4" s="279"/>
      <c r="E4" s="279"/>
      <c r="F4" s="279"/>
      <c r="G4" s="94" t="s">
        <v>144</v>
      </c>
      <c r="H4" s="93" t="s">
        <v>143</v>
      </c>
      <c r="I4" s="86">
        <f>BDI!D21/100</f>
        <v>2.624E-3</v>
      </c>
    </row>
    <row r="5" spans="1:27" ht="15.75" thickBot="1" x14ac:dyDescent="0.3">
      <c r="A5" s="268" t="s">
        <v>17</v>
      </c>
      <c r="B5" s="269"/>
      <c r="C5" s="235"/>
      <c r="D5" s="235"/>
      <c r="E5" s="235"/>
      <c r="F5" s="235"/>
      <c r="G5" s="270"/>
      <c r="H5" s="270"/>
      <c r="I5" s="271"/>
    </row>
    <row r="6" spans="1:27" ht="30.75" thickBot="1" x14ac:dyDescent="0.3">
      <c r="A6" s="15" t="s">
        <v>107</v>
      </c>
      <c r="B6" s="15" t="s">
        <v>5</v>
      </c>
      <c r="C6" s="16" t="s">
        <v>18</v>
      </c>
      <c r="D6" s="16" t="s">
        <v>19</v>
      </c>
      <c r="E6" s="16" t="s">
        <v>20</v>
      </c>
      <c r="F6" s="16" t="s">
        <v>21</v>
      </c>
      <c r="G6" s="17" t="s">
        <v>22</v>
      </c>
      <c r="H6" s="17" t="s">
        <v>23</v>
      </c>
      <c r="I6" s="18" t="s">
        <v>24</v>
      </c>
      <c r="J6" s="19"/>
    </row>
    <row r="7" spans="1:27" x14ac:dyDescent="0.2">
      <c r="A7" s="20"/>
      <c r="B7" s="20" t="s">
        <v>8</v>
      </c>
      <c r="C7" s="20"/>
      <c r="D7" s="21" t="s">
        <v>25</v>
      </c>
      <c r="E7" s="20"/>
      <c r="F7" s="22"/>
      <c r="G7" s="22"/>
      <c r="H7" s="23"/>
      <c r="I7" s="22" t="e">
        <f>SUM(I8:I12)</f>
        <v>#REF!</v>
      </c>
    </row>
    <row r="8" spans="1:27" ht="14.25" x14ac:dyDescent="0.2">
      <c r="A8" s="80" t="s">
        <v>108</v>
      </c>
      <c r="B8" s="24" t="s">
        <v>26</v>
      </c>
      <c r="C8" s="24" t="s">
        <v>27</v>
      </c>
      <c r="D8" s="25" t="s">
        <v>28</v>
      </c>
      <c r="E8" s="24" t="s">
        <v>29</v>
      </c>
      <c r="F8" s="26">
        <v>3</v>
      </c>
      <c r="G8" s="26" t="e">
        <f>#REF!</f>
        <v>#REF!</v>
      </c>
      <c r="H8" s="10" t="e">
        <f>G8+(G8*$I$4)</f>
        <v>#REF!</v>
      </c>
      <c r="I8" s="26" t="e">
        <f>H8*F8</f>
        <v>#REF!</v>
      </c>
    </row>
    <row r="9" spans="1:27" ht="28.5" x14ac:dyDescent="0.2">
      <c r="A9" s="80" t="s">
        <v>47</v>
      </c>
      <c r="B9" s="80" t="s">
        <v>112</v>
      </c>
      <c r="C9" s="24">
        <v>93584</v>
      </c>
      <c r="D9" s="79" t="s">
        <v>113</v>
      </c>
      <c r="E9" s="24" t="s">
        <v>29</v>
      </c>
      <c r="F9" s="26">
        <v>6</v>
      </c>
      <c r="G9" s="26">
        <v>650.95000000000005</v>
      </c>
      <c r="H9" s="10">
        <f>G9+(G9*$I$4)</f>
        <v>652.65809280000008</v>
      </c>
      <c r="I9" s="26">
        <f>H9*F9</f>
        <v>3915.9485568000005</v>
      </c>
    </row>
    <row r="10" spans="1:27" ht="14.25" x14ac:dyDescent="0.2">
      <c r="A10" s="80" t="s">
        <v>47</v>
      </c>
      <c r="B10" s="80" t="s">
        <v>117</v>
      </c>
      <c r="C10" s="24">
        <v>99063</v>
      </c>
      <c r="D10" s="79" t="s">
        <v>214</v>
      </c>
      <c r="E10" s="80" t="s">
        <v>41</v>
      </c>
      <c r="F10" s="26">
        <v>6</v>
      </c>
      <c r="G10" s="26">
        <v>3.55</v>
      </c>
      <c r="H10" s="10">
        <f>G10+(G10*$I$4)</f>
        <v>3.5593151999999999</v>
      </c>
      <c r="I10" s="26">
        <f>H10*F10</f>
        <v>21.355891199999999</v>
      </c>
    </row>
    <row r="11" spans="1:27" ht="15.75" customHeight="1" x14ac:dyDescent="0.25">
      <c r="A11" s="75"/>
      <c r="B11" s="75"/>
      <c r="C11" s="75"/>
      <c r="D11" s="76" t="s">
        <v>116</v>
      </c>
      <c r="E11" s="75"/>
      <c r="F11" s="77"/>
      <c r="G11" s="77"/>
      <c r="H11" s="78"/>
      <c r="I11" s="7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</row>
    <row r="12" spans="1:27" ht="14.25" x14ac:dyDescent="0.2">
      <c r="A12" s="80" t="s">
        <v>108</v>
      </c>
      <c r="B12" s="80" t="s">
        <v>213</v>
      </c>
      <c r="C12" s="80" t="s">
        <v>208</v>
      </c>
      <c r="D12" s="79" t="e">
        <f>#REF!</f>
        <v>#REF!</v>
      </c>
      <c r="E12" s="80" t="s">
        <v>118</v>
      </c>
      <c r="F12" s="26">
        <v>3</v>
      </c>
      <c r="G12" s="26" t="e">
        <f>#REF!</f>
        <v>#REF!</v>
      </c>
      <c r="H12" s="10" t="e">
        <f>G12+(G12*$I$4)</f>
        <v>#REF!</v>
      </c>
      <c r="I12" s="26" t="e">
        <f>H12*F12</f>
        <v>#REF!</v>
      </c>
    </row>
    <row r="13" spans="1:27" x14ac:dyDescent="0.2">
      <c r="A13" s="27"/>
      <c r="B13" s="27" t="s">
        <v>9</v>
      </c>
      <c r="C13" s="28"/>
      <c r="D13" s="29" t="s">
        <v>89</v>
      </c>
      <c r="E13" s="28"/>
      <c r="F13" s="30"/>
      <c r="G13" s="30" t="s">
        <v>30</v>
      </c>
      <c r="H13" s="31"/>
      <c r="I13" s="30">
        <f>SUM(I14:I21)</f>
        <v>111628.34357606295</v>
      </c>
    </row>
    <row r="14" spans="1:27" ht="85.5" x14ac:dyDescent="0.2">
      <c r="A14" s="80" t="s">
        <v>47</v>
      </c>
      <c r="B14" s="24" t="s">
        <v>31</v>
      </c>
      <c r="C14" s="24">
        <v>90084</v>
      </c>
      <c r="D14" s="25" t="s">
        <v>90</v>
      </c>
      <c r="E14" s="24" t="s">
        <v>32</v>
      </c>
      <c r="F14" s="26">
        <f>('CÁLCULO DE VOL E ESC REDE PRIN.'!J19+'CAL VOL. REDE COL.'!J33+'CALC. VOL PV'!J19+'CALC. VOL BL'!J10)-F15</f>
        <v>2359.3950096665003</v>
      </c>
      <c r="G14" s="26">
        <v>7.61</v>
      </c>
      <c r="H14" s="10">
        <f t="shared" ref="H14:H21" si="0">G14+(G14*$I$4)</f>
        <v>7.6299686400000004</v>
      </c>
      <c r="I14" s="26">
        <f t="shared" ref="I14:I20" si="1">H14*F14</f>
        <v>18002.109933127897</v>
      </c>
    </row>
    <row r="15" spans="1:27" ht="85.5" x14ac:dyDescent="0.2">
      <c r="A15" s="80" t="s">
        <v>47</v>
      </c>
      <c r="B15" s="80" t="s">
        <v>33</v>
      </c>
      <c r="C15" s="24">
        <v>102278</v>
      </c>
      <c r="D15" s="79" t="s">
        <v>126</v>
      </c>
      <c r="E15" s="24" t="s">
        <v>32</v>
      </c>
      <c r="F15" s="26">
        <f>SUM('CÁLCULO DE VOL E ESC REDE PRIN.'!J15:J18)</f>
        <v>843.90649999999994</v>
      </c>
      <c r="G15" s="26">
        <v>6.93</v>
      </c>
      <c r="H15" s="10">
        <f t="shared" si="0"/>
        <v>6.9481843199999993</v>
      </c>
      <c r="I15" s="26">
        <f>H15*F15</f>
        <v>5863.6179108460792</v>
      </c>
    </row>
    <row r="16" spans="1:27" ht="42.75" x14ac:dyDescent="0.2">
      <c r="A16" s="80" t="s">
        <v>47</v>
      </c>
      <c r="B16" s="80" t="s">
        <v>34</v>
      </c>
      <c r="C16" s="24">
        <v>101572</v>
      </c>
      <c r="D16" s="25" t="s">
        <v>91</v>
      </c>
      <c r="E16" s="24" t="s">
        <v>29</v>
      </c>
      <c r="F16" s="26">
        <f>SUM('CÁLCULO DE VOL E ESC REDE PRIN.'!J9:J15)</f>
        <v>2293.5010000000002</v>
      </c>
      <c r="G16" s="26">
        <v>12.12</v>
      </c>
      <c r="H16" s="10">
        <f t="shared" si="0"/>
        <v>12.15180288</v>
      </c>
      <c r="I16" s="26">
        <f t="shared" si="1"/>
        <v>27870.172057082884</v>
      </c>
    </row>
    <row r="17" spans="1:27" ht="42.75" x14ac:dyDescent="0.2">
      <c r="A17" s="80" t="s">
        <v>47</v>
      </c>
      <c r="B17" s="80" t="s">
        <v>34</v>
      </c>
      <c r="C17" s="24">
        <v>101573</v>
      </c>
      <c r="D17" s="79" t="s">
        <v>127</v>
      </c>
      <c r="E17" s="24" t="s">
        <v>29</v>
      </c>
      <c r="F17" s="26">
        <f>SUM('CÁLCULO DE VOL E ESC REDE PRIN.'!J15:J18)</f>
        <v>843.90649999999994</v>
      </c>
      <c r="G17" s="26">
        <v>18.28</v>
      </c>
      <c r="H17" s="10">
        <f t="shared" si="0"/>
        <v>18.327966720000003</v>
      </c>
      <c r="I17" s="26">
        <f>H17*F17</f>
        <v>15467.09024679168</v>
      </c>
    </row>
    <row r="18" spans="1:27" ht="32.25" customHeight="1" x14ac:dyDescent="0.25">
      <c r="A18" s="80" t="s">
        <v>47</v>
      </c>
      <c r="B18" s="80" t="s">
        <v>35</v>
      </c>
      <c r="C18" s="24">
        <v>101622</v>
      </c>
      <c r="D18" s="25" t="s">
        <v>92</v>
      </c>
      <c r="E18" s="24" t="s">
        <v>32</v>
      </c>
      <c r="F18" s="26">
        <f>SUM('CÁLCULO DE VOL E ESC REDE PRIN.'!I9:I14)</f>
        <v>77</v>
      </c>
      <c r="G18" s="26">
        <v>148.11000000000001</v>
      </c>
      <c r="H18" s="10">
        <f t="shared" si="0"/>
        <v>148.49864064000002</v>
      </c>
      <c r="I18" s="26">
        <f t="shared" si="1"/>
        <v>11434.395329280002</v>
      </c>
      <c r="M18" s="32"/>
    </row>
    <row r="19" spans="1:27" ht="45.75" customHeight="1" x14ac:dyDescent="0.25">
      <c r="A19" s="80" t="s">
        <v>47</v>
      </c>
      <c r="B19" s="80" t="s">
        <v>35</v>
      </c>
      <c r="C19" s="24">
        <v>101625</v>
      </c>
      <c r="D19" s="79" t="s">
        <v>128</v>
      </c>
      <c r="E19" s="24" t="s">
        <v>32</v>
      </c>
      <c r="F19" s="26">
        <f>SUM('CÁLCULO DE VOL E ESC REDE PRIN.'!I15:I18)</f>
        <v>36.550000000000004</v>
      </c>
      <c r="G19" s="26">
        <v>120.92</v>
      </c>
      <c r="H19" s="10">
        <f t="shared" si="0"/>
        <v>121.23729408</v>
      </c>
      <c r="I19" s="26">
        <f>H19*F19</f>
        <v>4431.2230986240002</v>
      </c>
      <c r="M19" s="32"/>
    </row>
    <row r="20" spans="1:27" ht="74.25" customHeight="1" x14ac:dyDescent="0.2">
      <c r="A20" s="80" t="s">
        <v>47</v>
      </c>
      <c r="B20" s="80" t="s">
        <v>125</v>
      </c>
      <c r="C20" s="24">
        <v>93361</v>
      </c>
      <c r="D20" s="25" t="s">
        <v>93</v>
      </c>
      <c r="E20" s="24" t="s">
        <v>32</v>
      </c>
      <c r="F20" s="26">
        <f>('CÁLCULO DE VOL E ESC REDE PRIN.'!K19+'CAL VOL. REDE COL.'!K33+'CALC. VOL PV'!K19)-F21</f>
        <v>1756.9495554746418</v>
      </c>
      <c r="G20" s="26">
        <v>13.01</v>
      </c>
      <c r="H20" s="10">
        <f t="shared" si="0"/>
        <v>13.044138240000001</v>
      </c>
      <c r="I20" s="26">
        <f t="shared" si="1"/>
        <v>22917.892882317778</v>
      </c>
    </row>
    <row r="21" spans="1:27" ht="74.25" customHeight="1" x14ac:dyDescent="0.2">
      <c r="A21" s="80" t="s">
        <v>47</v>
      </c>
      <c r="B21" s="80" t="s">
        <v>125</v>
      </c>
      <c r="C21" s="24">
        <v>93362</v>
      </c>
      <c r="D21" s="79" t="s">
        <v>129</v>
      </c>
      <c r="E21" s="24" t="s">
        <v>32</v>
      </c>
      <c r="F21" s="26">
        <f>SUM('CÁLCULO DE VOL E ESC REDE PRIN.'!K15:K18)</f>
        <v>586.153819668089</v>
      </c>
      <c r="G21" s="26">
        <v>9.6</v>
      </c>
      <c r="H21" s="10">
        <f t="shared" si="0"/>
        <v>9.6251903999999993</v>
      </c>
      <c r="I21" s="26">
        <f>H21*F21</f>
        <v>5641.8421179926208</v>
      </c>
    </row>
    <row r="22" spans="1:27" ht="15.75" customHeight="1" x14ac:dyDescent="0.2">
      <c r="A22" s="27" t="s">
        <v>10</v>
      </c>
      <c r="B22" s="27" t="s">
        <v>10</v>
      </c>
      <c r="C22" s="28"/>
      <c r="D22" s="29" t="s">
        <v>94</v>
      </c>
      <c r="E22" s="28"/>
      <c r="F22" s="30"/>
      <c r="G22" s="30" t="s">
        <v>30</v>
      </c>
      <c r="H22" s="31"/>
      <c r="I22" s="30" t="e">
        <f>SUM(I25:I38)</f>
        <v>#REF!</v>
      </c>
    </row>
    <row r="23" spans="1:27" ht="15.75" customHeight="1" x14ac:dyDescent="0.25">
      <c r="A23" s="33"/>
      <c r="B23" s="33"/>
      <c r="C23" s="33"/>
      <c r="D23" s="34" t="s">
        <v>95</v>
      </c>
      <c r="E23" s="33"/>
      <c r="F23" s="35"/>
      <c r="G23" s="35"/>
      <c r="H23" s="36"/>
      <c r="I23" s="35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</row>
    <row r="24" spans="1:27" ht="15.75" customHeight="1" x14ac:dyDescent="0.25">
      <c r="A24" s="75"/>
      <c r="B24" s="75"/>
      <c r="C24" s="75"/>
      <c r="D24" s="76" t="s">
        <v>96</v>
      </c>
      <c r="E24" s="75"/>
      <c r="F24" s="77"/>
      <c r="G24" s="77"/>
      <c r="H24" s="78"/>
      <c r="I24" s="7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</row>
    <row r="25" spans="1:27" ht="69" customHeight="1" x14ac:dyDescent="0.2">
      <c r="A25" s="80" t="s">
        <v>47</v>
      </c>
      <c r="B25" s="24" t="s">
        <v>37</v>
      </c>
      <c r="C25" s="24">
        <v>92226</v>
      </c>
      <c r="D25" s="79" t="s">
        <v>130</v>
      </c>
      <c r="E25" s="24" t="s">
        <v>41</v>
      </c>
      <c r="F25" s="26">
        <f>SUM('CÁLCULO DE VOL E ESC REDE PRIN.'!C9:C14)</f>
        <v>638</v>
      </c>
      <c r="G25" s="26">
        <v>511.75</v>
      </c>
      <c r="H25" s="10">
        <f>G25+(G25*$I$4)</f>
        <v>513.09283200000004</v>
      </c>
      <c r="I25" s="26">
        <f>H25*F25</f>
        <v>327353.22681600001</v>
      </c>
      <c r="J25" s="159"/>
    </row>
    <row r="26" spans="1:27" ht="69" customHeight="1" x14ac:dyDescent="0.2">
      <c r="A26" s="80" t="s">
        <v>47</v>
      </c>
      <c r="B26" s="24" t="s">
        <v>37</v>
      </c>
      <c r="C26" s="24">
        <v>92831</v>
      </c>
      <c r="D26" s="79" t="s">
        <v>131</v>
      </c>
      <c r="E26" s="24" t="s">
        <v>41</v>
      </c>
      <c r="F26" s="26">
        <f>SUM('CÁLCULO DE VOL E ESC REDE PRIN.'!C15:C18)</f>
        <v>269</v>
      </c>
      <c r="G26" s="26">
        <v>1048.5899999999999</v>
      </c>
      <c r="H26" s="10">
        <f>G26+(G26*$I$4)</f>
        <v>1051.3415001599999</v>
      </c>
      <c r="I26" s="26">
        <f>H26*F26</f>
        <v>282810.86354303994</v>
      </c>
    </row>
    <row r="27" spans="1:27" ht="15.75" customHeight="1" x14ac:dyDescent="0.25">
      <c r="A27" s="75"/>
      <c r="B27" s="75"/>
      <c r="C27" s="75"/>
      <c r="D27" s="76" t="s">
        <v>97</v>
      </c>
      <c r="E27" s="75"/>
      <c r="F27" s="77"/>
      <c r="G27" s="77"/>
      <c r="H27" s="78"/>
      <c r="I27" s="7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</row>
    <row r="28" spans="1:27" ht="69" customHeight="1" x14ac:dyDescent="0.2">
      <c r="A28" s="80" t="s">
        <v>47</v>
      </c>
      <c r="B28" s="24" t="s">
        <v>37</v>
      </c>
      <c r="C28" s="24">
        <v>92219</v>
      </c>
      <c r="D28" s="25" t="s">
        <v>98</v>
      </c>
      <c r="E28" s="24" t="s">
        <v>41</v>
      </c>
      <c r="F28" s="26">
        <f>SUM('CAL VOL. REDE COL.'!C9:C32)</f>
        <v>333.82</v>
      </c>
      <c r="G28" s="26">
        <v>150.04</v>
      </c>
      <c r="H28" s="10">
        <f>G28+(G28*$I$4)</f>
        <v>150.43370496</v>
      </c>
      <c r="I28" s="26">
        <f>H28*F28</f>
        <v>50217.7793897472</v>
      </c>
    </row>
    <row r="29" spans="1:27" ht="15.75" customHeight="1" x14ac:dyDescent="0.25">
      <c r="A29" s="33"/>
      <c r="B29" s="33"/>
      <c r="C29" s="33"/>
      <c r="D29" s="34" t="s">
        <v>99</v>
      </c>
      <c r="E29" s="33"/>
      <c r="F29" s="35"/>
      <c r="G29" s="35"/>
      <c r="H29" s="36"/>
      <c r="I29" s="35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</row>
    <row r="30" spans="1:27" ht="15.75" customHeight="1" x14ac:dyDescent="0.25">
      <c r="A30" s="75"/>
      <c r="B30" s="75"/>
      <c r="C30" s="75"/>
      <c r="D30" s="76" t="s">
        <v>102</v>
      </c>
      <c r="E30" s="75"/>
      <c r="F30" s="77"/>
      <c r="G30" s="77"/>
      <c r="H30" s="78"/>
      <c r="I30" s="7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</row>
    <row r="31" spans="1:27" ht="27.75" customHeight="1" x14ac:dyDescent="0.2">
      <c r="A31" s="80" t="s">
        <v>109</v>
      </c>
      <c r="B31" s="24" t="s">
        <v>38</v>
      </c>
      <c r="C31" s="24">
        <v>2003618</v>
      </c>
      <c r="D31" s="25" t="s">
        <v>111</v>
      </c>
      <c r="E31" s="80" t="s">
        <v>36</v>
      </c>
      <c r="F31" s="26">
        <v>24</v>
      </c>
      <c r="G31" s="26">
        <v>737.21</v>
      </c>
      <c r="H31" s="10">
        <f>G31+(G31*$I$4)</f>
        <v>739.14443904000007</v>
      </c>
      <c r="I31" s="26">
        <f>H31*F31</f>
        <v>17739.466536960001</v>
      </c>
    </row>
    <row r="32" spans="1:27" ht="15.75" customHeight="1" x14ac:dyDescent="0.25">
      <c r="A32" s="75"/>
      <c r="B32" s="75"/>
      <c r="C32" s="75"/>
      <c r="D32" s="76" t="s">
        <v>100</v>
      </c>
      <c r="E32" s="75"/>
      <c r="F32" s="77"/>
      <c r="G32" s="77"/>
      <c r="H32" s="78"/>
      <c r="I32" s="7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</row>
    <row r="33" spans="1:27" ht="27" customHeight="1" x14ac:dyDescent="0.2">
      <c r="A33" s="80" t="s">
        <v>109</v>
      </c>
      <c r="B33" s="24" t="s">
        <v>39</v>
      </c>
      <c r="C33" s="24">
        <v>2003684</v>
      </c>
      <c r="D33" s="25" t="s">
        <v>132</v>
      </c>
      <c r="E33" s="80" t="s">
        <v>36</v>
      </c>
      <c r="F33" s="26">
        <v>5</v>
      </c>
      <c r="G33" s="26">
        <v>2250.5100000000002</v>
      </c>
      <c r="H33" s="10">
        <f>G33+(G33*$I$4)</f>
        <v>2256.4153382400004</v>
      </c>
      <c r="I33" s="26">
        <f>H33*F33</f>
        <v>11282.076691200002</v>
      </c>
    </row>
    <row r="34" spans="1:27" ht="25.5" customHeight="1" x14ac:dyDescent="0.2">
      <c r="A34" s="80" t="s">
        <v>109</v>
      </c>
      <c r="B34" s="24" t="s">
        <v>40</v>
      </c>
      <c r="C34" s="24">
        <v>2003688</v>
      </c>
      <c r="D34" s="79" t="s">
        <v>133</v>
      </c>
      <c r="E34" s="80" t="s">
        <v>36</v>
      </c>
      <c r="F34" s="26">
        <v>5</v>
      </c>
      <c r="G34" s="26">
        <v>3311.33</v>
      </c>
      <c r="H34" s="10">
        <f>G34+(G34*$I$4)</f>
        <v>3320.0189299200001</v>
      </c>
      <c r="I34" s="26">
        <f>H34*F34</f>
        <v>16600.0946496</v>
      </c>
    </row>
    <row r="35" spans="1:27" ht="60" customHeight="1" x14ac:dyDescent="0.2">
      <c r="A35" s="80" t="s">
        <v>47</v>
      </c>
      <c r="B35" s="24" t="s">
        <v>39</v>
      </c>
      <c r="C35" s="24">
        <v>98051</v>
      </c>
      <c r="D35" s="79" t="s">
        <v>110</v>
      </c>
      <c r="E35" s="80" t="s">
        <v>41</v>
      </c>
      <c r="F35" s="26">
        <f>SUM('CALC. VOL PV'!I9:I18)</f>
        <v>9.08</v>
      </c>
      <c r="G35" s="26">
        <v>749.73</v>
      </c>
      <c r="H35" s="10">
        <f>G35+(G35*$I$4)</f>
        <v>751.69729152000002</v>
      </c>
      <c r="I35" s="26">
        <f>H35*F35</f>
        <v>6825.4114070016003</v>
      </c>
    </row>
    <row r="36" spans="1:27" ht="45" customHeight="1" x14ac:dyDescent="0.2">
      <c r="A36" s="24" t="s">
        <v>40</v>
      </c>
      <c r="B36" s="24" t="s">
        <v>40</v>
      </c>
      <c r="C36" s="80" t="s">
        <v>101</v>
      </c>
      <c r="D36" s="79" t="s">
        <v>106</v>
      </c>
      <c r="E36" s="80" t="s">
        <v>36</v>
      </c>
      <c r="F36" s="26">
        <v>10</v>
      </c>
      <c r="G36" s="26" t="e">
        <f>#REF!</f>
        <v>#REF!</v>
      </c>
      <c r="H36" s="10" t="e">
        <f>G36+(G36*$I$4)</f>
        <v>#REF!</v>
      </c>
      <c r="I36" s="26" t="e">
        <f>H36*F36</f>
        <v>#REF!</v>
      </c>
    </row>
    <row r="37" spans="1:27" ht="15.75" customHeight="1" x14ac:dyDescent="0.25">
      <c r="A37" s="75"/>
      <c r="B37" s="75"/>
      <c r="C37" s="75"/>
      <c r="D37" s="76" t="s">
        <v>103</v>
      </c>
      <c r="E37" s="75"/>
      <c r="F37" s="77"/>
      <c r="G37" s="77"/>
      <c r="H37" s="78"/>
      <c r="I37" s="7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</row>
    <row r="38" spans="1:27" ht="24.75" customHeight="1" x14ac:dyDescent="0.2">
      <c r="A38" s="80" t="s">
        <v>109</v>
      </c>
      <c r="B38" s="24"/>
      <c r="C38" s="80">
        <v>2003461</v>
      </c>
      <c r="D38" s="25" t="s">
        <v>134</v>
      </c>
      <c r="E38" s="80" t="s">
        <v>36</v>
      </c>
      <c r="F38" s="26">
        <v>1</v>
      </c>
      <c r="G38" s="26">
        <v>4073.49</v>
      </c>
      <c r="H38" s="10">
        <f>G38+(G38*$I$4)</f>
        <v>4084.1788377599996</v>
      </c>
      <c r="I38" s="26">
        <f>H38*F38</f>
        <v>4084.1788377599996</v>
      </c>
    </row>
    <row r="39" spans="1:27" ht="15.75" customHeight="1" x14ac:dyDescent="0.25">
      <c r="A39" s="27" t="s">
        <v>11</v>
      </c>
      <c r="B39" s="27" t="s">
        <v>11</v>
      </c>
      <c r="C39" s="28"/>
      <c r="D39" s="29" t="s">
        <v>104</v>
      </c>
      <c r="E39" s="28"/>
      <c r="F39" s="30"/>
      <c r="G39" s="30" t="s">
        <v>30</v>
      </c>
      <c r="H39" s="31"/>
      <c r="I39" s="30">
        <f>SUM(I40:I43)</f>
        <v>8585.1133804800011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</row>
    <row r="40" spans="1:27" ht="15.75" customHeight="1" x14ac:dyDescent="0.25">
      <c r="A40" s="75"/>
      <c r="B40" s="75"/>
      <c r="C40" s="75"/>
      <c r="D40" s="76" t="s">
        <v>114</v>
      </c>
      <c r="E40" s="75"/>
      <c r="F40" s="77"/>
      <c r="G40" s="77"/>
      <c r="H40" s="78"/>
      <c r="I40" s="7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</row>
    <row r="41" spans="1:27" ht="27.75" customHeight="1" x14ac:dyDescent="0.2">
      <c r="A41" s="80" t="s">
        <v>47</v>
      </c>
      <c r="B41" s="24" t="s">
        <v>43</v>
      </c>
      <c r="C41" s="24">
        <v>95879</v>
      </c>
      <c r="D41" s="79" t="s">
        <v>135</v>
      </c>
      <c r="E41" s="80" t="s">
        <v>219</v>
      </c>
      <c r="F41" s="26">
        <f>'CALC. TRANSPORTES'!D21</f>
        <v>0</v>
      </c>
      <c r="G41" s="26">
        <v>1.0900000000000001</v>
      </c>
      <c r="H41" s="10">
        <f>G41+(G41*$I$4)</f>
        <v>1.0928601600000001</v>
      </c>
      <c r="I41" s="26">
        <f>H41*F41</f>
        <v>0</v>
      </c>
    </row>
    <row r="42" spans="1:27" ht="15.75" customHeight="1" x14ac:dyDescent="0.25">
      <c r="A42" s="75"/>
      <c r="B42" s="75"/>
      <c r="C42" s="75"/>
      <c r="D42" s="76" t="s">
        <v>115</v>
      </c>
      <c r="E42" s="75"/>
      <c r="F42" s="77"/>
      <c r="G42" s="77"/>
      <c r="H42" s="78"/>
      <c r="I42" s="7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</row>
    <row r="43" spans="1:27" ht="57.75" customHeight="1" x14ac:dyDescent="0.25">
      <c r="A43" s="80" t="s">
        <v>47</v>
      </c>
      <c r="B43" s="24" t="s">
        <v>44</v>
      </c>
      <c r="C43" s="24">
        <v>100952</v>
      </c>
      <c r="D43" s="79" t="s">
        <v>136</v>
      </c>
      <c r="E43" s="80" t="s">
        <v>219</v>
      </c>
      <c r="F43" s="26">
        <f>'CALC. TRANSPORTES'!F11+'CALC. TRANSPORTES'!F14+'CALC. TRANSPORTES'!F15</f>
        <v>4391.1000000000004</v>
      </c>
      <c r="G43" s="26">
        <v>1.95</v>
      </c>
      <c r="H43" s="10">
        <f>G43+(G43*$I$4)</f>
        <v>1.9551167999999999</v>
      </c>
      <c r="I43" s="26">
        <f>H43*F43</f>
        <v>8585.1133804800011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</row>
    <row r="44" spans="1:27" ht="15.75" customHeight="1" thickBot="1" x14ac:dyDescent="0.3">
      <c r="A44" s="272"/>
      <c r="B44" s="273"/>
      <c r="C44" s="274"/>
      <c r="D44" s="274"/>
      <c r="E44" s="274"/>
      <c r="F44" s="274"/>
      <c r="G44" s="275"/>
      <c r="H44" s="83" t="s">
        <v>12</v>
      </c>
      <c r="I44" s="84" t="e">
        <f>SUM(I7:I43)/2</f>
        <v>#REF!</v>
      </c>
    </row>
    <row r="45" spans="1:27" ht="15.75" customHeight="1" x14ac:dyDescent="0.2">
      <c r="A45" s="288" t="s">
        <v>137</v>
      </c>
      <c r="B45" s="313"/>
      <c r="C45" s="289"/>
      <c r="D45" s="304" t="s">
        <v>138</v>
      </c>
      <c r="E45" s="288" t="s">
        <v>141</v>
      </c>
      <c r="F45" s="289"/>
      <c r="G45" s="292" t="s">
        <v>235</v>
      </c>
      <c r="H45" s="293"/>
      <c r="I45" s="294"/>
    </row>
    <row r="46" spans="1:27" ht="15.75" customHeight="1" thickBot="1" x14ac:dyDescent="0.25">
      <c r="A46" s="290"/>
      <c r="B46" s="314"/>
      <c r="C46" s="291"/>
      <c r="D46" s="305"/>
      <c r="E46" s="290"/>
      <c r="F46" s="291"/>
      <c r="G46" s="295"/>
      <c r="H46" s="295"/>
      <c r="I46" s="296"/>
    </row>
    <row r="47" spans="1:27" ht="15.75" customHeight="1" x14ac:dyDescent="0.2">
      <c r="A47" s="302"/>
      <c r="B47" s="303"/>
      <c r="C47" s="254"/>
      <c r="D47" s="92"/>
      <c r="E47" s="297" t="s">
        <v>142</v>
      </c>
      <c r="F47" s="298"/>
      <c r="G47" s="298"/>
      <c r="H47" s="298"/>
      <c r="I47" s="299"/>
    </row>
    <row r="48" spans="1:27" ht="15.75" customHeight="1" x14ac:dyDescent="0.2">
      <c r="A48" s="315"/>
      <c r="B48" s="316"/>
      <c r="C48" s="317"/>
      <c r="D48" s="89"/>
      <c r="E48" s="306" t="s">
        <v>209</v>
      </c>
      <c r="F48" s="255"/>
      <c r="G48" s="255"/>
      <c r="H48" s="255"/>
      <c r="I48" s="256"/>
    </row>
    <row r="49" spans="1:9" ht="15.75" customHeight="1" x14ac:dyDescent="0.2">
      <c r="A49" s="318" t="s">
        <v>13</v>
      </c>
      <c r="B49" s="319"/>
      <c r="C49" s="320"/>
      <c r="D49" s="91" t="s">
        <v>140</v>
      </c>
      <c r="E49" s="307"/>
      <c r="F49" s="308"/>
      <c r="G49" s="308"/>
      <c r="H49" s="308"/>
      <c r="I49" s="309"/>
    </row>
    <row r="50" spans="1:9" ht="15.75" customHeight="1" thickBot="1" x14ac:dyDescent="0.25">
      <c r="A50" s="300" t="s">
        <v>14</v>
      </c>
      <c r="B50" s="301"/>
      <c r="C50" s="262"/>
      <c r="D50" s="90" t="s">
        <v>139</v>
      </c>
      <c r="E50" s="310"/>
      <c r="F50" s="311"/>
      <c r="G50" s="311"/>
      <c r="H50" s="311"/>
      <c r="I50" s="312"/>
    </row>
    <row r="51" spans="1:9" ht="15.75" customHeight="1" x14ac:dyDescent="0.25">
      <c r="A51" s="39"/>
      <c r="B51" s="39"/>
      <c r="C51" s="39"/>
      <c r="D51" s="39"/>
      <c r="E51" s="39"/>
      <c r="F51" s="39"/>
      <c r="G51" s="39"/>
      <c r="H51" s="39"/>
      <c r="I51" s="39"/>
    </row>
    <row r="52" spans="1:9" ht="15.75" customHeight="1" x14ac:dyDescent="0.25">
      <c r="A52" s="39"/>
      <c r="B52" s="39"/>
      <c r="C52" s="39"/>
      <c r="D52" s="39"/>
      <c r="E52" s="39"/>
      <c r="F52" s="39"/>
      <c r="G52" s="39"/>
      <c r="H52" s="39"/>
      <c r="I52" s="39"/>
    </row>
    <row r="53" spans="1:9" ht="47.25" customHeight="1" x14ac:dyDescent="0.25">
      <c r="A53" s="40"/>
      <c r="B53" s="40"/>
      <c r="C53" s="40"/>
      <c r="D53" s="40"/>
      <c r="E53" s="40"/>
      <c r="F53" s="40"/>
      <c r="G53" s="40"/>
      <c r="H53" s="40"/>
      <c r="I53" s="40"/>
    </row>
    <row r="54" spans="1:9" ht="15.75" customHeight="1" x14ac:dyDescent="0.25">
      <c r="A54" s="40"/>
      <c r="B54" s="40"/>
      <c r="C54" s="40"/>
      <c r="D54" s="40"/>
      <c r="E54" s="40"/>
      <c r="F54" s="40"/>
      <c r="G54" s="40"/>
      <c r="H54" s="40"/>
      <c r="I54" s="40"/>
    </row>
    <row r="55" spans="1:9" ht="15.75" customHeight="1" x14ac:dyDescent="0.25">
      <c r="A55" s="40"/>
      <c r="B55" s="40"/>
      <c r="C55" s="40"/>
      <c r="D55" s="40"/>
      <c r="E55" s="40"/>
      <c r="F55" s="40"/>
      <c r="G55" s="40"/>
      <c r="H55" s="40"/>
      <c r="I55" s="40"/>
    </row>
    <row r="56" spans="1:9" ht="15.75" customHeight="1" x14ac:dyDescent="0.25">
      <c r="A56" s="40"/>
      <c r="B56" s="40"/>
      <c r="C56" s="40"/>
      <c r="D56" s="40"/>
      <c r="E56" s="40"/>
      <c r="F56" s="40"/>
      <c r="G56" s="40"/>
      <c r="H56" s="40"/>
      <c r="I56" s="40"/>
    </row>
    <row r="57" spans="1:9" ht="15.75" customHeight="1" x14ac:dyDescent="0.25">
      <c r="A57" s="40"/>
      <c r="B57" s="40"/>
      <c r="C57" s="40"/>
      <c r="D57" s="40"/>
      <c r="E57" s="40"/>
      <c r="F57" s="40"/>
      <c r="G57" s="40"/>
      <c r="H57" s="40"/>
      <c r="I57" s="40"/>
    </row>
    <row r="58" spans="1:9" ht="15.75" customHeight="1" x14ac:dyDescent="0.25">
      <c r="A58" s="40"/>
      <c r="B58" s="40"/>
      <c r="C58" s="40"/>
      <c r="D58" s="40"/>
      <c r="E58" s="40"/>
      <c r="F58" s="40"/>
      <c r="G58" s="40"/>
      <c r="H58" s="40"/>
      <c r="I58" s="40"/>
    </row>
    <row r="59" spans="1:9" ht="15.75" customHeight="1" x14ac:dyDescent="0.25">
      <c r="A59" s="40"/>
      <c r="B59" s="40"/>
      <c r="C59" s="40"/>
      <c r="D59" s="40"/>
      <c r="E59" s="40"/>
      <c r="F59" s="40"/>
      <c r="G59" s="40"/>
      <c r="H59" s="40"/>
      <c r="I59" s="40"/>
    </row>
    <row r="60" spans="1:9" ht="15.75" customHeight="1" x14ac:dyDescent="0.25">
      <c r="A60" s="40"/>
      <c r="B60" s="40"/>
      <c r="C60" s="40"/>
      <c r="D60" s="40"/>
      <c r="E60" s="40"/>
      <c r="F60" s="40"/>
      <c r="G60" s="40"/>
      <c r="H60" s="40"/>
      <c r="I60" s="40"/>
    </row>
    <row r="61" spans="1:9" ht="15.75" customHeight="1" x14ac:dyDescent="0.25">
      <c r="A61" s="40"/>
      <c r="B61" s="40"/>
      <c r="C61" s="40"/>
      <c r="D61" s="40"/>
      <c r="E61" s="40"/>
      <c r="F61" s="40"/>
      <c r="G61" s="40"/>
      <c r="H61" s="40"/>
      <c r="I61" s="40"/>
    </row>
    <row r="62" spans="1:9" ht="15.75" customHeight="1" x14ac:dyDescent="0.25">
      <c r="A62" s="40"/>
      <c r="B62" s="40"/>
      <c r="C62" s="40"/>
      <c r="D62" s="40"/>
      <c r="E62" s="40"/>
      <c r="F62" s="40"/>
      <c r="G62" s="40"/>
      <c r="H62" s="40"/>
      <c r="I62" s="40"/>
    </row>
    <row r="63" spans="1:9" ht="15.75" customHeight="1" x14ac:dyDescent="0.2"/>
    <row r="64" spans="1:9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</sheetData>
  <mergeCells count="21">
    <mergeCell ref="E45:F46"/>
    <mergeCell ref="G45:I46"/>
    <mergeCell ref="E47:I47"/>
    <mergeCell ref="A50:C50"/>
    <mergeCell ref="A47:C47"/>
    <mergeCell ref="D45:D46"/>
    <mergeCell ref="E48:I48"/>
    <mergeCell ref="E49:I49"/>
    <mergeCell ref="E50:I50"/>
    <mergeCell ref="A45:C46"/>
    <mergeCell ref="A48:C48"/>
    <mergeCell ref="A49:C49"/>
    <mergeCell ref="A5:I5"/>
    <mergeCell ref="A44:G44"/>
    <mergeCell ref="B1:F1"/>
    <mergeCell ref="B2:F2"/>
    <mergeCell ref="B3:F3"/>
    <mergeCell ref="B4:F4"/>
    <mergeCell ref="G3:H3"/>
    <mergeCell ref="G1:I1"/>
    <mergeCell ref="G2:I2"/>
  </mergeCells>
  <pageMargins left="0.23622047244094491" right="0.23622047244094491" top="0.94291666666666663" bottom="0.8744791666666667" header="0" footer="0"/>
  <pageSetup paperSize="9" scale="40" fitToHeight="0" orientation="landscape" r:id="rId1"/>
  <headerFooter>
    <oddFooter>&amp;CRua Rui Barbosa, 310 - Centro - Araputanga-MT – Cel: (65) 99613-9294 E-mail: carolina.o.almeida@hotmail.com / escalaprojeta@gmail.com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"/>
  <sheetViews>
    <sheetView topLeftCell="A32" zoomScale="80" zoomScaleNormal="80" zoomScaleSheetLayoutView="85" zoomScalePageLayoutView="70" workbookViewId="0">
      <selection activeCell="D73" sqref="D73"/>
    </sheetView>
  </sheetViews>
  <sheetFormatPr defaultColWidth="12.625" defaultRowHeight="14.25" x14ac:dyDescent="0.2"/>
  <cols>
    <col min="1" max="2" width="16.5" customWidth="1"/>
    <col min="3" max="3" width="13.375" customWidth="1"/>
    <col min="4" max="4" width="60.625" customWidth="1"/>
    <col min="5" max="5" width="7" customWidth="1"/>
    <col min="6" max="6" width="11.75" customWidth="1"/>
    <col min="7" max="7" width="14.25" customWidth="1"/>
    <col min="8" max="8" width="23.625" customWidth="1"/>
    <col min="9" max="9" width="23.875" customWidth="1"/>
    <col min="10" max="10" width="12.375" bestFit="1" customWidth="1"/>
    <col min="11" max="20" width="7.625" customWidth="1"/>
  </cols>
  <sheetData>
    <row r="1" spans="1:26" ht="15" x14ac:dyDescent="0.25">
      <c r="A1" s="177" t="s">
        <v>0</v>
      </c>
      <c r="B1" s="327" t="s">
        <v>426</v>
      </c>
      <c r="C1" s="328"/>
      <c r="D1" s="328"/>
      <c r="E1" s="328"/>
      <c r="F1" s="328"/>
      <c r="G1" s="531" t="s">
        <v>15</v>
      </c>
      <c r="H1" s="531"/>
      <c r="I1" s="514"/>
    </row>
    <row r="2" spans="1:26" ht="15" x14ac:dyDescent="0.25">
      <c r="A2" s="177" t="s">
        <v>1</v>
      </c>
      <c r="B2" s="327" t="s">
        <v>427</v>
      </c>
      <c r="C2" s="328"/>
      <c r="D2" s="328"/>
      <c r="E2" s="328"/>
      <c r="F2" s="328"/>
      <c r="G2" s="531"/>
      <c r="H2" s="531"/>
      <c r="I2" s="515"/>
    </row>
    <row r="3" spans="1:26" ht="15" x14ac:dyDescent="0.25">
      <c r="A3" s="177" t="s">
        <v>2</v>
      </c>
      <c r="B3" s="327" t="s">
        <v>431</v>
      </c>
      <c r="C3" s="328"/>
      <c r="D3" s="328"/>
      <c r="E3" s="328"/>
      <c r="F3" s="328"/>
      <c r="G3" s="420" t="s">
        <v>210</v>
      </c>
      <c r="H3" s="420"/>
      <c r="I3" s="514" t="s">
        <v>260</v>
      </c>
    </row>
    <row r="4" spans="1:26" ht="15" x14ac:dyDescent="0.25">
      <c r="A4" s="532" t="s">
        <v>3</v>
      </c>
      <c r="B4" s="533">
        <v>45905</v>
      </c>
      <c r="C4" s="534"/>
      <c r="D4" s="534"/>
      <c r="E4" s="534"/>
      <c r="F4" s="534"/>
      <c r="G4" s="420" t="s">
        <v>429</v>
      </c>
      <c r="H4" s="420"/>
      <c r="I4" s="515">
        <f>BDI!D21</f>
        <v>0.26240000000000002</v>
      </c>
    </row>
    <row r="5" spans="1:26" ht="15" x14ac:dyDescent="0.25">
      <c r="A5" s="535" t="s">
        <v>17</v>
      </c>
      <c r="B5" s="535"/>
      <c r="C5" s="480"/>
      <c r="D5" s="480"/>
      <c r="E5" s="480"/>
      <c r="F5" s="480"/>
      <c r="G5" s="480"/>
      <c r="H5" s="480"/>
      <c r="I5" s="480"/>
    </row>
    <row r="6" spans="1:26" ht="30" x14ac:dyDescent="0.2">
      <c r="A6" s="520" t="s">
        <v>107</v>
      </c>
      <c r="B6" s="520" t="s">
        <v>5</v>
      </c>
      <c r="C6" s="520" t="s">
        <v>18</v>
      </c>
      <c r="D6" s="520" t="s">
        <v>19</v>
      </c>
      <c r="E6" s="520" t="s">
        <v>20</v>
      </c>
      <c r="F6" s="520" t="s">
        <v>21</v>
      </c>
      <c r="G6" s="536" t="s">
        <v>22</v>
      </c>
      <c r="H6" s="536" t="s">
        <v>23</v>
      </c>
      <c r="I6" s="520" t="s">
        <v>24</v>
      </c>
    </row>
    <row r="7" spans="1:26" ht="15" x14ac:dyDescent="0.2">
      <c r="A7" s="537"/>
      <c r="B7" s="537" t="s">
        <v>8</v>
      </c>
      <c r="C7" s="537"/>
      <c r="D7" s="538" t="s">
        <v>288</v>
      </c>
      <c r="E7" s="537"/>
      <c r="F7" s="539"/>
      <c r="G7" s="539"/>
      <c r="H7" s="539"/>
      <c r="I7" s="539">
        <f>I8</f>
        <v>4968.2</v>
      </c>
    </row>
    <row r="8" spans="1:26" ht="17.25" customHeight="1" x14ac:dyDescent="0.2">
      <c r="A8" s="540" t="s">
        <v>108</v>
      </c>
      <c r="B8" s="540" t="s">
        <v>26</v>
      </c>
      <c r="C8" s="540" t="s">
        <v>27</v>
      </c>
      <c r="D8" s="541" t="s">
        <v>277</v>
      </c>
      <c r="E8" s="540" t="s">
        <v>36</v>
      </c>
      <c r="F8" s="199">
        <v>1</v>
      </c>
      <c r="G8" s="199">
        <f>'COMPOSIÇÕES E COTAÇÕES'!G14</f>
        <v>3935.52</v>
      </c>
      <c r="H8" s="542">
        <f>TRUNC(G8+(G8*$I$4),2)</f>
        <v>4968.2</v>
      </c>
      <c r="I8" s="199">
        <f>TRUNC(H8*F8,2)</f>
        <v>4968.2</v>
      </c>
    </row>
    <row r="9" spans="1:26" ht="15" x14ac:dyDescent="0.2">
      <c r="A9" s="537"/>
      <c r="B9" s="537" t="s">
        <v>9</v>
      </c>
      <c r="C9" s="537"/>
      <c r="D9" s="538" t="s">
        <v>25</v>
      </c>
      <c r="E9" s="537"/>
      <c r="F9" s="539"/>
      <c r="G9" s="539"/>
      <c r="H9" s="539"/>
      <c r="I9" s="539">
        <f>SUM(I11:I11)</f>
        <v>7323.12</v>
      </c>
    </row>
    <row r="10" spans="1:26" ht="15" x14ac:dyDescent="0.25">
      <c r="A10" s="543"/>
      <c r="B10" s="543"/>
      <c r="C10" s="543"/>
      <c r="D10" s="544" t="s">
        <v>365</v>
      </c>
      <c r="E10" s="543"/>
      <c r="F10" s="207"/>
      <c r="G10" s="207"/>
      <c r="H10" s="545"/>
      <c r="I10" s="20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</row>
    <row r="11" spans="1:26" ht="35.25" customHeight="1" x14ac:dyDescent="0.2">
      <c r="A11" s="540" t="s">
        <v>276</v>
      </c>
      <c r="B11" s="546" t="s">
        <v>31</v>
      </c>
      <c r="C11" s="540">
        <v>103689</v>
      </c>
      <c r="D11" s="541" t="s">
        <v>303</v>
      </c>
      <c r="E11" s="546" t="s">
        <v>29</v>
      </c>
      <c r="F11" s="199">
        <v>12.5</v>
      </c>
      <c r="G11" s="199">
        <v>464.08</v>
      </c>
      <c r="H11" s="542">
        <f>TRUNC(G11+(G11*$I$4),2)</f>
        <v>585.85</v>
      </c>
      <c r="I11" s="199">
        <f>TRUNC(H11*F11,2)</f>
        <v>7323.12</v>
      </c>
    </row>
    <row r="12" spans="1:26" ht="15" x14ac:dyDescent="0.2">
      <c r="A12" s="537"/>
      <c r="B12" s="537" t="s">
        <v>10</v>
      </c>
      <c r="C12" s="547"/>
      <c r="D12" s="548" t="s">
        <v>370</v>
      </c>
      <c r="E12" s="547"/>
      <c r="F12" s="206"/>
      <c r="G12" s="206"/>
      <c r="H12" s="539"/>
      <c r="I12" s="206">
        <f>SUM(I14:I28)</f>
        <v>832629.13000000012</v>
      </c>
    </row>
    <row r="13" spans="1:26" ht="15" x14ac:dyDescent="0.25">
      <c r="A13" s="543"/>
      <c r="B13" s="543"/>
      <c r="C13" s="543"/>
      <c r="D13" s="544" t="s">
        <v>390</v>
      </c>
      <c r="E13" s="543"/>
      <c r="F13" s="207"/>
      <c r="G13" s="207"/>
      <c r="H13" s="545"/>
      <c r="I13" s="20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</row>
    <row r="14" spans="1:26" ht="42.75" x14ac:dyDescent="0.25">
      <c r="A14" s="540" t="s">
        <v>276</v>
      </c>
      <c r="B14" s="546" t="s">
        <v>37</v>
      </c>
      <c r="C14" s="546">
        <v>96523</v>
      </c>
      <c r="D14" s="541" t="s">
        <v>381</v>
      </c>
      <c r="E14" s="546" t="s">
        <v>32</v>
      </c>
      <c r="F14" s="199">
        <f>'MEM. CÁLCULO'!D19+'MEM. CÁLCULO'!D31</f>
        <v>112.28316666666666</v>
      </c>
      <c r="G14" s="199">
        <v>91.67</v>
      </c>
      <c r="H14" s="542">
        <f t="shared" ref="H14:H17" si="0">TRUNC(G14+(G14*$I$4),2)</f>
        <v>115.72</v>
      </c>
      <c r="I14" s="199">
        <f t="shared" ref="I14:I17" si="1">TRUNC(H14*F14,2)</f>
        <v>12993.4</v>
      </c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</row>
    <row r="15" spans="1:26" ht="28.5" x14ac:dyDescent="0.25">
      <c r="A15" s="540" t="s">
        <v>276</v>
      </c>
      <c r="B15" s="546" t="s">
        <v>38</v>
      </c>
      <c r="C15" s="546">
        <v>96527</v>
      </c>
      <c r="D15" s="541" t="s">
        <v>382</v>
      </c>
      <c r="E15" s="546" t="s">
        <v>32</v>
      </c>
      <c r="F15" s="199">
        <f>'MEM. CÁLCULO'!D22</f>
        <v>106.3265</v>
      </c>
      <c r="G15" s="199">
        <v>100.91</v>
      </c>
      <c r="H15" s="542">
        <f t="shared" si="0"/>
        <v>127.38</v>
      </c>
      <c r="I15" s="199">
        <f t="shared" si="1"/>
        <v>13543.86</v>
      </c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</row>
    <row r="16" spans="1:26" ht="28.5" x14ac:dyDescent="0.25">
      <c r="A16" s="540" t="s">
        <v>276</v>
      </c>
      <c r="B16" s="546" t="s">
        <v>400</v>
      </c>
      <c r="C16" s="546">
        <v>96543</v>
      </c>
      <c r="D16" s="541" t="s">
        <v>384</v>
      </c>
      <c r="E16" s="546" t="s">
        <v>385</v>
      </c>
      <c r="F16" s="199">
        <f>'MEM. CÁLCULO'!D25</f>
        <v>825.59399999999994</v>
      </c>
      <c r="G16" s="199">
        <v>19.61</v>
      </c>
      <c r="H16" s="542">
        <f t="shared" si="0"/>
        <v>24.75</v>
      </c>
      <c r="I16" s="199">
        <f t="shared" si="1"/>
        <v>20433.45</v>
      </c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</row>
    <row r="17" spans="1:26" ht="28.5" x14ac:dyDescent="0.25">
      <c r="A17" s="540" t="s">
        <v>276</v>
      </c>
      <c r="B17" s="546" t="s">
        <v>39</v>
      </c>
      <c r="C17" s="546">
        <v>96545</v>
      </c>
      <c r="D17" s="541" t="s">
        <v>387</v>
      </c>
      <c r="E17" s="546" t="s">
        <v>385</v>
      </c>
      <c r="F17" s="199">
        <f>'MEM. CÁLCULO'!D28</f>
        <v>2823.46</v>
      </c>
      <c r="G17" s="199">
        <v>16.02</v>
      </c>
      <c r="H17" s="542">
        <f t="shared" si="0"/>
        <v>20.22</v>
      </c>
      <c r="I17" s="199">
        <f t="shared" si="1"/>
        <v>57090.36</v>
      </c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</row>
    <row r="18" spans="1:26" ht="42.75" x14ac:dyDescent="0.25">
      <c r="A18" s="540" t="s">
        <v>276</v>
      </c>
      <c r="B18" s="546" t="s">
        <v>40</v>
      </c>
      <c r="C18" s="546">
        <v>96555</v>
      </c>
      <c r="D18" s="541" t="s">
        <v>389</v>
      </c>
      <c r="E18" s="546" t="s">
        <v>73</v>
      </c>
      <c r="F18" s="199">
        <f>'MEM. CÁLCULO'!D31+'MEM. CÁLCULO'!D19</f>
        <v>112.28316666666666</v>
      </c>
      <c r="G18" s="199">
        <v>834.9</v>
      </c>
      <c r="H18" s="542">
        <f t="shared" ref="H18:H26" si="2">TRUNC(G18+(G18*$I$4),2)</f>
        <v>1053.97</v>
      </c>
      <c r="I18" s="199">
        <f t="shared" ref="I18:I26" si="3">TRUNC(H18*F18,2)</f>
        <v>118343.08</v>
      </c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</row>
    <row r="19" spans="1:26" ht="15" x14ac:dyDescent="0.25">
      <c r="A19" s="543"/>
      <c r="B19" s="543"/>
      <c r="C19" s="543"/>
      <c r="D19" s="544" t="s">
        <v>399</v>
      </c>
      <c r="E19" s="543"/>
      <c r="F19" s="207"/>
      <c r="G19" s="207"/>
      <c r="H19" s="545"/>
      <c r="I19" s="20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</row>
    <row r="20" spans="1:26" ht="57" x14ac:dyDescent="0.25">
      <c r="A20" s="540" t="s">
        <v>276</v>
      </c>
      <c r="B20" s="540" t="s">
        <v>383</v>
      </c>
      <c r="C20" s="546">
        <v>92419</v>
      </c>
      <c r="D20" s="541" t="s">
        <v>392</v>
      </c>
      <c r="E20" s="546" t="s">
        <v>29</v>
      </c>
      <c r="F20" s="199">
        <f>'MEM. CÁLCULO'!D34</f>
        <v>74.458333333333329</v>
      </c>
      <c r="G20" s="199">
        <v>97.09</v>
      </c>
      <c r="H20" s="542">
        <f t="shared" si="2"/>
        <v>122.56</v>
      </c>
      <c r="I20" s="199">
        <f t="shared" si="3"/>
        <v>9125.61</v>
      </c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</row>
    <row r="21" spans="1:26" ht="42.75" x14ac:dyDescent="0.25">
      <c r="A21" s="540" t="s">
        <v>276</v>
      </c>
      <c r="B21" s="540" t="s">
        <v>386</v>
      </c>
      <c r="C21" s="546">
        <v>92448</v>
      </c>
      <c r="D21" s="541" t="s">
        <v>418</v>
      </c>
      <c r="E21" s="546" t="s">
        <v>29</v>
      </c>
      <c r="F21" s="199">
        <f>'MEM. CÁLCULO'!D37</f>
        <v>268.05</v>
      </c>
      <c r="G21" s="199">
        <v>159.44</v>
      </c>
      <c r="H21" s="542">
        <f t="shared" si="2"/>
        <v>201.27</v>
      </c>
      <c r="I21" s="199">
        <f t="shared" si="3"/>
        <v>53950.42</v>
      </c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</row>
    <row r="22" spans="1:26" ht="42.75" x14ac:dyDescent="0.25">
      <c r="A22" s="540" t="s">
        <v>276</v>
      </c>
      <c r="B22" s="540" t="s">
        <v>388</v>
      </c>
      <c r="C22" s="546">
        <v>92759</v>
      </c>
      <c r="D22" s="541" t="s">
        <v>394</v>
      </c>
      <c r="E22" s="546" t="s">
        <v>385</v>
      </c>
      <c r="F22" s="199">
        <f>'MEM. CÁLCULO'!D40</f>
        <v>917.3266666666666</v>
      </c>
      <c r="G22" s="199">
        <v>14.05</v>
      </c>
      <c r="H22" s="542">
        <f t="shared" si="2"/>
        <v>17.73</v>
      </c>
      <c r="I22" s="199">
        <f t="shared" si="3"/>
        <v>16264.2</v>
      </c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</row>
    <row r="23" spans="1:26" ht="42.75" x14ac:dyDescent="0.25">
      <c r="A23" s="540" t="s">
        <v>276</v>
      </c>
      <c r="B23" s="540" t="s">
        <v>401</v>
      </c>
      <c r="C23" s="546">
        <v>92761</v>
      </c>
      <c r="D23" s="541" t="s">
        <v>395</v>
      </c>
      <c r="E23" s="546" t="s">
        <v>385</v>
      </c>
      <c r="F23" s="199">
        <f>'MEM. CÁLCULO'!D43</f>
        <v>2823.46</v>
      </c>
      <c r="G23" s="199">
        <v>12.52</v>
      </c>
      <c r="H23" s="542">
        <f t="shared" si="2"/>
        <v>15.8</v>
      </c>
      <c r="I23" s="199">
        <f t="shared" si="3"/>
        <v>44610.66</v>
      </c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</row>
    <row r="24" spans="1:26" ht="42.75" x14ac:dyDescent="0.25">
      <c r="A24" s="540" t="s">
        <v>276</v>
      </c>
      <c r="B24" s="540" t="s">
        <v>402</v>
      </c>
      <c r="C24" s="546">
        <v>92762</v>
      </c>
      <c r="D24" s="541" t="s">
        <v>396</v>
      </c>
      <c r="E24" s="546" t="s">
        <v>385</v>
      </c>
      <c r="F24" s="199">
        <f>'MEM. CÁLCULO'!D46</f>
        <v>1470.1053333333332</v>
      </c>
      <c r="G24" s="199">
        <v>11.2</v>
      </c>
      <c r="H24" s="542">
        <f t="shared" si="2"/>
        <v>14.13</v>
      </c>
      <c r="I24" s="199">
        <f t="shared" si="3"/>
        <v>20772.580000000002</v>
      </c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</row>
    <row r="25" spans="1:26" ht="42.75" x14ac:dyDescent="0.25">
      <c r="A25" s="540" t="s">
        <v>276</v>
      </c>
      <c r="B25" s="540" t="s">
        <v>403</v>
      </c>
      <c r="C25" s="546">
        <v>103672</v>
      </c>
      <c r="D25" s="541" t="s">
        <v>397</v>
      </c>
      <c r="E25" s="546" t="s">
        <v>32</v>
      </c>
      <c r="F25" s="199">
        <f>'MEM. CÁLCULO'!D49</f>
        <v>26.804999999999996</v>
      </c>
      <c r="G25" s="199">
        <v>891.19</v>
      </c>
      <c r="H25" s="542">
        <f t="shared" si="2"/>
        <v>1125.03</v>
      </c>
      <c r="I25" s="199">
        <f t="shared" si="3"/>
        <v>30156.42</v>
      </c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</row>
    <row r="26" spans="1:26" ht="42.75" x14ac:dyDescent="0.25">
      <c r="A26" s="540" t="s">
        <v>276</v>
      </c>
      <c r="B26" s="540" t="s">
        <v>391</v>
      </c>
      <c r="C26" s="540">
        <v>103674</v>
      </c>
      <c r="D26" s="541" t="s">
        <v>398</v>
      </c>
      <c r="E26" s="546" t="s">
        <v>32</v>
      </c>
      <c r="F26" s="199">
        <f>'MEM. CÁLCULO'!D52</f>
        <v>80.415000000000006</v>
      </c>
      <c r="G26" s="199">
        <v>910.75</v>
      </c>
      <c r="H26" s="542">
        <f t="shared" si="2"/>
        <v>1149.73</v>
      </c>
      <c r="I26" s="199">
        <f t="shared" si="3"/>
        <v>92455.53</v>
      </c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</row>
    <row r="27" spans="1:26" ht="15" x14ac:dyDescent="0.25">
      <c r="A27" s="543"/>
      <c r="B27" s="543"/>
      <c r="C27" s="543"/>
      <c r="D27" s="544" t="s">
        <v>371</v>
      </c>
      <c r="E27" s="543"/>
      <c r="F27" s="207"/>
      <c r="G27" s="207"/>
      <c r="H27" s="545"/>
      <c r="I27" s="20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</row>
    <row r="28" spans="1:26" ht="48.95" customHeight="1" x14ac:dyDescent="0.2">
      <c r="A28" s="540" t="s">
        <v>276</v>
      </c>
      <c r="B28" s="546" t="s">
        <v>393</v>
      </c>
      <c r="C28" s="546">
        <v>103348</v>
      </c>
      <c r="D28" s="541" t="s">
        <v>409</v>
      </c>
      <c r="E28" s="540" t="s">
        <v>46</v>
      </c>
      <c r="F28" s="199">
        <f>'MEM. CÁLCULO'!D10</f>
        <v>3574</v>
      </c>
      <c r="G28" s="199">
        <v>76</v>
      </c>
      <c r="H28" s="542">
        <f t="shared" ref="H28" si="4">TRUNC(G28+(G28*$I$4),2)</f>
        <v>95.94</v>
      </c>
      <c r="I28" s="199">
        <f t="shared" ref="I28" si="5">TRUNC(H28*F28,2)</f>
        <v>342889.56</v>
      </c>
    </row>
    <row r="29" spans="1:26" ht="15" x14ac:dyDescent="0.25">
      <c r="A29" s="537"/>
      <c r="B29" s="537" t="s">
        <v>11</v>
      </c>
      <c r="C29" s="547"/>
      <c r="D29" s="548" t="s">
        <v>372</v>
      </c>
      <c r="E29" s="547"/>
      <c r="F29" s="206"/>
      <c r="G29" s="206"/>
      <c r="H29" s="539"/>
      <c r="I29" s="206">
        <f>SUM(I30:I33)</f>
        <v>505506.55999999994</v>
      </c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</row>
    <row r="30" spans="1:26" ht="57" x14ac:dyDescent="0.25">
      <c r="A30" s="540" t="s">
        <v>276</v>
      </c>
      <c r="B30" s="540" t="s">
        <v>366</v>
      </c>
      <c r="C30" s="540">
        <v>87897</v>
      </c>
      <c r="D30" s="541" t="s">
        <v>406</v>
      </c>
      <c r="E30" s="540" t="s">
        <v>29</v>
      </c>
      <c r="F30" s="199">
        <f>'MEM. CÁLCULO'!D13</f>
        <v>7148</v>
      </c>
      <c r="G30" s="199">
        <v>5.21</v>
      </c>
      <c r="H30" s="542">
        <f>TRUNC(G30+(G30*$I$4),2)</f>
        <v>6.57</v>
      </c>
      <c r="I30" s="199">
        <f>TRUNC(H30*F30,2)</f>
        <v>46962.36</v>
      </c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</row>
    <row r="31" spans="1:26" ht="71.25" x14ac:dyDescent="0.25">
      <c r="A31" s="540" t="s">
        <v>276</v>
      </c>
      <c r="B31" s="540" t="s">
        <v>376</v>
      </c>
      <c r="C31" s="540">
        <v>104233</v>
      </c>
      <c r="D31" s="541" t="s">
        <v>407</v>
      </c>
      <c r="E31" s="540" t="s">
        <v>29</v>
      </c>
      <c r="F31" s="199">
        <f>'MEM. CÁLCULO'!D13</f>
        <v>7148</v>
      </c>
      <c r="G31" s="199">
        <v>38.56</v>
      </c>
      <c r="H31" s="542">
        <f>TRUNC(G31+(G31*$I$4),2)</f>
        <v>48.67</v>
      </c>
      <c r="I31" s="199">
        <f>TRUNC(H31*F31,2)</f>
        <v>347893.16</v>
      </c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</row>
    <row r="32" spans="1:26" ht="42.75" x14ac:dyDescent="0.25">
      <c r="A32" s="540" t="s">
        <v>276</v>
      </c>
      <c r="B32" s="540" t="s">
        <v>377</v>
      </c>
      <c r="C32" s="540">
        <v>88412</v>
      </c>
      <c r="D32" s="541" t="s">
        <v>373</v>
      </c>
      <c r="E32" s="540" t="s">
        <v>29</v>
      </c>
      <c r="F32" s="199">
        <f>'MEM. CÁLCULO'!D13</f>
        <v>7148</v>
      </c>
      <c r="G32" s="199">
        <v>3.03</v>
      </c>
      <c r="H32" s="542">
        <f>TRUNC(G32+(G32*$I$4),2)</f>
        <v>3.82</v>
      </c>
      <c r="I32" s="199">
        <f>TRUNC(H32*F32,2)</f>
        <v>27305.360000000001</v>
      </c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</row>
    <row r="33" spans="1:20" ht="28.5" x14ac:dyDescent="0.25">
      <c r="A33" s="540" t="s">
        <v>276</v>
      </c>
      <c r="B33" s="540" t="s">
        <v>378</v>
      </c>
      <c r="C33" s="540">
        <v>104641</v>
      </c>
      <c r="D33" s="541" t="s">
        <v>405</v>
      </c>
      <c r="E33" s="540" t="s">
        <v>29</v>
      </c>
      <c r="F33" s="199">
        <f>'MEM. CÁLCULO'!D13</f>
        <v>7148</v>
      </c>
      <c r="G33" s="199">
        <v>9.24</v>
      </c>
      <c r="H33" s="542">
        <f>TRUNC(G33+(G33*$I$4),2)</f>
        <v>11.66</v>
      </c>
      <c r="I33" s="199">
        <f>TRUNC(H33*F33,2)</f>
        <v>83345.679999999993</v>
      </c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</row>
    <row r="34" spans="1:20" ht="15" x14ac:dyDescent="0.25">
      <c r="A34" s="537"/>
      <c r="B34" s="537" t="s">
        <v>278</v>
      </c>
      <c r="C34" s="547"/>
      <c r="D34" s="548" t="s">
        <v>374</v>
      </c>
      <c r="E34" s="547"/>
      <c r="F34" s="206"/>
      <c r="G34" s="206"/>
      <c r="H34" s="539"/>
      <c r="I34" s="206">
        <f>SUM(I35:I35)</f>
        <v>97457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</row>
    <row r="35" spans="1:20" ht="42.75" x14ac:dyDescent="0.25">
      <c r="A35" s="540" t="s">
        <v>276</v>
      </c>
      <c r="B35" s="540" t="s">
        <v>425</v>
      </c>
      <c r="C35" s="540">
        <v>94990</v>
      </c>
      <c r="D35" s="541" t="s">
        <v>301</v>
      </c>
      <c r="E35" s="540" t="s">
        <v>73</v>
      </c>
      <c r="F35" s="165">
        <f>'MEM. CÁLCULO'!D16</f>
        <v>87.434399999999982</v>
      </c>
      <c r="G35" s="199">
        <v>882.95</v>
      </c>
      <c r="H35" s="542">
        <f>TRUNC(G35+(G35*$I$4),2)</f>
        <v>1114.6300000000001</v>
      </c>
      <c r="I35" s="199">
        <f>TRUNC(H35*F35,2)</f>
        <v>97457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</row>
    <row r="36" spans="1:20" ht="15" hidden="1" x14ac:dyDescent="0.2">
      <c r="A36" s="543"/>
      <c r="B36" s="543"/>
      <c r="C36" s="543"/>
      <c r="D36" s="544" t="s">
        <v>361</v>
      </c>
      <c r="E36" s="543"/>
      <c r="F36" s="207"/>
      <c r="G36" s="207"/>
      <c r="H36" s="545"/>
      <c r="I36" s="207"/>
    </row>
    <row r="37" spans="1:20" ht="42.75" hidden="1" x14ac:dyDescent="0.2">
      <c r="A37" s="540" t="s">
        <v>276</v>
      </c>
      <c r="B37" s="540" t="s">
        <v>310</v>
      </c>
      <c r="C37" s="549">
        <v>99253</v>
      </c>
      <c r="D37" s="550" t="s">
        <v>357</v>
      </c>
      <c r="E37" s="549" t="s">
        <v>36</v>
      </c>
      <c r="F37" s="199"/>
      <c r="G37" s="199"/>
      <c r="H37" s="542">
        <f>TRUNC(G37+(G37*$I$4),2)</f>
        <v>0</v>
      </c>
      <c r="I37" s="199">
        <f>TRUNC(H37*F37,2)</f>
        <v>0</v>
      </c>
    </row>
    <row r="38" spans="1:20" ht="28.5" hidden="1" x14ac:dyDescent="0.2">
      <c r="A38" s="540" t="s">
        <v>276</v>
      </c>
      <c r="B38" s="540" t="s">
        <v>359</v>
      </c>
      <c r="C38" s="549">
        <v>89512</v>
      </c>
      <c r="D38" s="550" t="s">
        <v>358</v>
      </c>
      <c r="E38" s="549" t="s">
        <v>41</v>
      </c>
      <c r="F38" s="199"/>
      <c r="G38" s="199"/>
      <c r="H38" s="542">
        <f>TRUNC(G38+(G38*$I$4),2)</f>
        <v>0</v>
      </c>
      <c r="I38" s="199">
        <f>TRUNC(H38*F38,2)</f>
        <v>0</v>
      </c>
    </row>
    <row r="39" spans="1:20" ht="28.5" hidden="1" x14ac:dyDescent="0.2">
      <c r="A39" s="540" t="s">
        <v>276</v>
      </c>
      <c r="B39" s="540" t="s">
        <v>363</v>
      </c>
      <c r="C39" s="549">
        <v>89865</v>
      </c>
      <c r="D39" s="550" t="s">
        <v>360</v>
      </c>
      <c r="E39" s="549" t="s">
        <v>41</v>
      </c>
      <c r="F39" s="199"/>
      <c r="G39" s="199"/>
      <c r="H39" s="542">
        <f t="shared" ref="H39:H40" si="6">TRUNC(G39+(G39*$I$4),2)</f>
        <v>0</v>
      </c>
      <c r="I39" s="199">
        <f t="shared" ref="I39:I40" si="7">TRUNC(H39*F39,2)</f>
        <v>0</v>
      </c>
    </row>
    <row r="40" spans="1:20" ht="42.75" hidden="1" x14ac:dyDescent="0.2">
      <c r="A40" s="540" t="s">
        <v>276</v>
      </c>
      <c r="B40" s="540" t="s">
        <v>364</v>
      </c>
      <c r="C40" s="549">
        <v>89866</v>
      </c>
      <c r="D40" s="550" t="s">
        <v>362</v>
      </c>
      <c r="E40" s="549" t="s">
        <v>36</v>
      </c>
      <c r="F40" s="199"/>
      <c r="G40" s="199"/>
      <c r="H40" s="542">
        <f t="shared" si="6"/>
        <v>0</v>
      </c>
      <c r="I40" s="199">
        <f t="shared" si="7"/>
        <v>0</v>
      </c>
    </row>
    <row r="41" spans="1:20" ht="42.75" hidden="1" x14ac:dyDescent="0.2">
      <c r="A41" s="540" t="s">
        <v>276</v>
      </c>
      <c r="B41" s="540" t="s">
        <v>320</v>
      </c>
      <c r="C41" s="551">
        <v>97886</v>
      </c>
      <c r="D41" s="541" t="s">
        <v>308</v>
      </c>
      <c r="E41" s="549" t="s">
        <v>36</v>
      </c>
      <c r="F41" s="199"/>
      <c r="G41" s="199"/>
      <c r="H41" s="542">
        <f>G41+(G41*$I$4)</f>
        <v>0</v>
      </c>
      <c r="I41" s="199">
        <f>TRUNC(H41*F41,2)</f>
        <v>0</v>
      </c>
    </row>
    <row r="42" spans="1:20" ht="15" hidden="1" x14ac:dyDescent="0.2">
      <c r="A42" s="552"/>
      <c r="B42" s="552"/>
      <c r="C42" s="552"/>
      <c r="D42" s="553" t="s">
        <v>305</v>
      </c>
      <c r="E42" s="552"/>
      <c r="F42" s="554"/>
      <c r="G42" s="554"/>
      <c r="H42" s="555"/>
      <c r="I42" s="554"/>
    </row>
    <row r="43" spans="1:20" ht="57" hidden="1" x14ac:dyDescent="0.2">
      <c r="A43" s="540" t="s">
        <v>276</v>
      </c>
      <c r="B43" s="540" t="s">
        <v>321</v>
      </c>
      <c r="C43" s="546">
        <v>101879</v>
      </c>
      <c r="D43" s="541" t="s">
        <v>315</v>
      </c>
      <c r="E43" s="546" t="s">
        <v>36</v>
      </c>
      <c r="F43" s="199"/>
      <c r="G43" s="199"/>
      <c r="H43" s="542">
        <f>G43+(G43*$I$4)</f>
        <v>0</v>
      </c>
      <c r="I43" s="199">
        <f t="shared" ref="I43:I61" si="8">TRUNC(H43*F43,2)</f>
        <v>0</v>
      </c>
    </row>
    <row r="44" spans="1:20" ht="42.75" hidden="1" x14ac:dyDescent="0.2">
      <c r="A44" s="540" t="s">
        <v>276</v>
      </c>
      <c r="B44" s="540" t="s">
        <v>325</v>
      </c>
      <c r="C44" s="546">
        <v>91836</v>
      </c>
      <c r="D44" s="556" t="s">
        <v>322</v>
      </c>
      <c r="E44" s="546" t="s">
        <v>41</v>
      </c>
      <c r="F44" s="199"/>
      <c r="G44" s="199"/>
      <c r="H44" s="542">
        <f>G44+(G44*$I$4)</f>
        <v>0</v>
      </c>
      <c r="I44" s="199">
        <f t="shared" si="8"/>
        <v>0</v>
      </c>
    </row>
    <row r="45" spans="1:20" ht="42.75" hidden="1" x14ac:dyDescent="0.2">
      <c r="A45" s="540" t="s">
        <v>276</v>
      </c>
      <c r="B45" s="540" t="s">
        <v>326</v>
      </c>
      <c r="C45" s="546">
        <v>91834</v>
      </c>
      <c r="D45" s="556" t="s">
        <v>323</v>
      </c>
      <c r="E45" s="546" t="s">
        <v>41</v>
      </c>
      <c r="F45" s="199"/>
      <c r="G45" s="199"/>
      <c r="H45" s="542">
        <f t="shared" ref="H45:H52" si="9">G45+(G45*$I$4)</f>
        <v>0</v>
      </c>
      <c r="I45" s="199">
        <f t="shared" si="8"/>
        <v>0</v>
      </c>
    </row>
    <row r="46" spans="1:20" ht="42.75" hidden="1" x14ac:dyDescent="0.2">
      <c r="A46" s="540" t="s">
        <v>276</v>
      </c>
      <c r="B46" s="540" t="s">
        <v>327</v>
      </c>
      <c r="C46" s="546">
        <v>93011</v>
      </c>
      <c r="D46" s="556" t="s">
        <v>324</v>
      </c>
      <c r="E46" s="546" t="s">
        <v>41</v>
      </c>
      <c r="F46" s="199"/>
      <c r="G46" s="199"/>
      <c r="H46" s="542">
        <f t="shared" si="9"/>
        <v>0</v>
      </c>
      <c r="I46" s="199">
        <f>TRUNC(H46*F46,2)</f>
        <v>0</v>
      </c>
    </row>
    <row r="47" spans="1:20" ht="42.75" hidden="1" x14ac:dyDescent="0.2">
      <c r="A47" s="540" t="s">
        <v>276</v>
      </c>
      <c r="B47" s="540" t="s">
        <v>328</v>
      </c>
      <c r="C47" s="546">
        <v>91924</v>
      </c>
      <c r="D47" s="541" t="s">
        <v>319</v>
      </c>
      <c r="E47" s="546" t="s">
        <v>41</v>
      </c>
      <c r="F47" s="199"/>
      <c r="G47" s="199"/>
      <c r="H47" s="542">
        <f t="shared" si="9"/>
        <v>0</v>
      </c>
      <c r="I47" s="199">
        <f>TRUNC(H47*F47,2)</f>
        <v>0</v>
      </c>
    </row>
    <row r="48" spans="1:20" ht="42.75" hidden="1" x14ac:dyDescent="0.2">
      <c r="A48" s="540" t="s">
        <v>276</v>
      </c>
      <c r="B48" s="540" t="s">
        <v>329</v>
      </c>
      <c r="C48" s="546">
        <v>91926</v>
      </c>
      <c r="D48" s="541" t="s">
        <v>318</v>
      </c>
      <c r="E48" s="546" t="s">
        <v>41</v>
      </c>
      <c r="F48" s="199"/>
      <c r="G48" s="199"/>
      <c r="H48" s="542">
        <f t="shared" si="9"/>
        <v>0</v>
      </c>
      <c r="I48" s="199">
        <f>TRUNC(H48*F48,2)</f>
        <v>0</v>
      </c>
    </row>
    <row r="49" spans="1:10" ht="42.75" hidden="1" x14ac:dyDescent="0.2">
      <c r="A49" s="540" t="s">
        <v>276</v>
      </c>
      <c r="B49" s="540" t="s">
        <v>43</v>
      </c>
      <c r="C49" s="546">
        <v>91928</v>
      </c>
      <c r="D49" s="541" t="s">
        <v>317</v>
      </c>
      <c r="E49" s="546" t="s">
        <v>41</v>
      </c>
      <c r="F49" s="199"/>
      <c r="G49" s="199"/>
      <c r="H49" s="542">
        <f t="shared" si="9"/>
        <v>0</v>
      </c>
      <c r="I49" s="199">
        <f>TRUNC(H49*F49,2)</f>
        <v>0</v>
      </c>
    </row>
    <row r="50" spans="1:10" ht="42.75" hidden="1" x14ac:dyDescent="0.2">
      <c r="A50" s="540" t="s">
        <v>276</v>
      </c>
      <c r="B50" s="540" t="s">
        <v>44</v>
      </c>
      <c r="C50" s="546">
        <v>91932</v>
      </c>
      <c r="D50" s="541" t="s">
        <v>316</v>
      </c>
      <c r="E50" s="546" t="s">
        <v>41</v>
      </c>
      <c r="F50" s="199"/>
      <c r="G50" s="199"/>
      <c r="H50" s="542">
        <f t="shared" si="9"/>
        <v>0</v>
      </c>
      <c r="I50" s="199">
        <f t="shared" si="8"/>
        <v>0</v>
      </c>
    </row>
    <row r="51" spans="1:10" ht="28.5" hidden="1" x14ac:dyDescent="0.2">
      <c r="A51" s="540" t="s">
        <v>276</v>
      </c>
      <c r="B51" s="540" t="s">
        <v>330</v>
      </c>
      <c r="C51" s="549">
        <v>93668</v>
      </c>
      <c r="D51" s="550" t="s">
        <v>306</v>
      </c>
      <c r="E51" s="549" t="s">
        <v>36</v>
      </c>
      <c r="F51" s="557"/>
      <c r="G51" s="557"/>
      <c r="H51" s="542">
        <f t="shared" si="9"/>
        <v>0</v>
      </c>
      <c r="I51" s="199">
        <f t="shared" si="8"/>
        <v>0</v>
      </c>
    </row>
    <row r="52" spans="1:10" ht="28.5" hidden="1" x14ac:dyDescent="0.2">
      <c r="A52" s="540" t="s">
        <v>276</v>
      </c>
      <c r="B52" s="540" t="s">
        <v>331</v>
      </c>
      <c r="C52" s="549">
        <v>93653</v>
      </c>
      <c r="D52" s="550" t="s">
        <v>307</v>
      </c>
      <c r="E52" s="549" t="s">
        <v>36</v>
      </c>
      <c r="F52" s="557"/>
      <c r="G52" s="557"/>
      <c r="H52" s="542">
        <f t="shared" si="9"/>
        <v>0</v>
      </c>
      <c r="I52" s="199">
        <f t="shared" si="8"/>
        <v>0</v>
      </c>
    </row>
    <row r="53" spans="1:10" ht="15" hidden="1" x14ac:dyDescent="0.2">
      <c r="A53" s="552"/>
      <c r="B53" s="552"/>
      <c r="C53" s="552"/>
      <c r="D53" s="553" t="s">
        <v>309</v>
      </c>
      <c r="E53" s="552"/>
      <c r="F53" s="554"/>
      <c r="G53" s="554"/>
      <c r="H53" s="555"/>
      <c r="I53" s="554"/>
    </row>
    <row r="54" spans="1:10" ht="42.75" hidden="1" x14ac:dyDescent="0.2">
      <c r="A54" s="540" t="s">
        <v>276</v>
      </c>
      <c r="B54" s="540" t="s">
        <v>346</v>
      </c>
      <c r="C54" s="546">
        <v>91941</v>
      </c>
      <c r="D54" s="556" t="s">
        <v>332</v>
      </c>
      <c r="E54" s="549" t="s">
        <v>36</v>
      </c>
      <c r="F54" s="199"/>
      <c r="G54" s="199"/>
      <c r="H54" s="542">
        <f>G54+(G54*$I$4)</f>
        <v>0</v>
      </c>
      <c r="I54" s="199">
        <f t="shared" si="8"/>
        <v>0</v>
      </c>
    </row>
    <row r="55" spans="1:10" ht="28.5" hidden="1" x14ac:dyDescent="0.2">
      <c r="A55" s="540" t="s">
        <v>276</v>
      </c>
      <c r="B55" s="540" t="s">
        <v>348</v>
      </c>
      <c r="C55" s="546">
        <v>91937</v>
      </c>
      <c r="D55" s="556" t="s">
        <v>333</v>
      </c>
      <c r="E55" s="549" t="s">
        <v>36</v>
      </c>
      <c r="F55" s="199"/>
      <c r="G55" s="199"/>
      <c r="H55" s="542">
        <f t="shared" ref="H55:H61" si="10">G55+(G55*$I$4)</f>
        <v>0</v>
      </c>
      <c r="I55" s="199">
        <f>TRUNC(H55*F55,2)</f>
        <v>0</v>
      </c>
    </row>
    <row r="56" spans="1:10" ht="28.5" hidden="1" x14ac:dyDescent="0.2">
      <c r="A56" s="540" t="s">
        <v>276</v>
      </c>
      <c r="B56" s="540" t="s">
        <v>349</v>
      </c>
      <c r="C56" s="546">
        <v>91953</v>
      </c>
      <c r="D56" s="556" t="s">
        <v>337</v>
      </c>
      <c r="E56" s="549" t="s">
        <v>36</v>
      </c>
      <c r="F56" s="199"/>
      <c r="G56" s="199"/>
      <c r="H56" s="542">
        <f t="shared" si="10"/>
        <v>0</v>
      </c>
      <c r="I56" s="199">
        <f>TRUNC(H56*F56,2)</f>
        <v>0</v>
      </c>
    </row>
    <row r="57" spans="1:10" ht="28.5" hidden="1" x14ac:dyDescent="0.2">
      <c r="A57" s="540" t="s">
        <v>276</v>
      </c>
      <c r="B57" s="540" t="s">
        <v>350</v>
      </c>
      <c r="C57" s="546">
        <v>91967</v>
      </c>
      <c r="D57" s="556" t="s">
        <v>335</v>
      </c>
      <c r="E57" s="549" t="s">
        <v>36</v>
      </c>
      <c r="F57" s="199"/>
      <c r="G57" s="199"/>
      <c r="H57" s="542">
        <f>G57+(G57*$I$4)</f>
        <v>0</v>
      </c>
      <c r="I57" s="199">
        <f>TRUNC(H57*F57,2)</f>
        <v>0</v>
      </c>
    </row>
    <row r="58" spans="1:10" ht="42.75" hidden="1" x14ac:dyDescent="0.2">
      <c r="A58" s="540" t="s">
        <v>276</v>
      </c>
      <c r="B58" s="540" t="s">
        <v>351</v>
      </c>
      <c r="C58" s="546">
        <v>92023</v>
      </c>
      <c r="D58" s="556" t="s">
        <v>334</v>
      </c>
      <c r="E58" s="546" t="s">
        <v>36</v>
      </c>
      <c r="F58" s="199"/>
      <c r="G58" s="199"/>
      <c r="H58" s="542">
        <f t="shared" si="10"/>
        <v>0</v>
      </c>
      <c r="I58" s="199">
        <f t="shared" si="8"/>
        <v>0</v>
      </c>
    </row>
    <row r="59" spans="1:10" ht="28.5" hidden="1" x14ac:dyDescent="0.2">
      <c r="A59" s="540" t="s">
        <v>276</v>
      </c>
      <c r="B59" s="540" t="s">
        <v>347</v>
      </c>
      <c r="C59" s="549">
        <v>92000</v>
      </c>
      <c r="D59" s="550" t="s">
        <v>336</v>
      </c>
      <c r="E59" s="549" t="s">
        <v>36</v>
      </c>
      <c r="F59" s="557"/>
      <c r="G59" s="557"/>
      <c r="H59" s="542">
        <f t="shared" si="10"/>
        <v>0</v>
      </c>
      <c r="I59" s="199">
        <f t="shared" si="8"/>
        <v>0</v>
      </c>
    </row>
    <row r="60" spans="1:10" ht="28.5" hidden="1" x14ac:dyDescent="0.2">
      <c r="A60" s="540" t="s">
        <v>108</v>
      </c>
      <c r="B60" s="540" t="s">
        <v>352</v>
      </c>
      <c r="C60" s="551" t="s">
        <v>338</v>
      </c>
      <c r="D60" s="202" t="s">
        <v>340</v>
      </c>
      <c r="E60" s="549" t="s">
        <v>36</v>
      </c>
      <c r="F60" s="557"/>
      <c r="G60" s="557"/>
      <c r="H60" s="542">
        <f t="shared" si="10"/>
        <v>0</v>
      </c>
      <c r="I60" s="199">
        <f t="shared" si="8"/>
        <v>0</v>
      </c>
    </row>
    <row r="61" spans="1:10" hidden="1" x14ac:dyDescent="0.2">
      <c r="A61" s="540" t="s">
        <v>304</v>
      </c>
      <c r="B61" s="540" t="s">
        <v>353</v>
      </c>
      <c r="C61" s="540" t="s">
        <v>339</v>
      </c>
      <c r="D61" s="202" t="s">
        <v>341</v>
      </c>
      <c r="E61" s="549" t="s">
        <v>36</v>
      </c>
      <c r="F61" s="557"/>
      <c r="G61" s="557"/>
      <c r="H61" s="542">
        <f t="shared" si="10"/>
        <v>0</v>
      </c>
      <c r="I61" s="199">
        <f t="shared" si="8"/>
        <v>0</v>
      </c>
    </row>
    <row r="62" spans="1:10" ht="15" x14ac:dyDescent="0.25">
      <c r="A62" s="558"/>
      <c r="B62" s="558"/>
      <c r="C62" s="480"/>
      <c r="D62" s="480"/>
      <c r="E62" s="480"/>
      <c r="F62" s="480"/>
      <c r="G62" s="480"/>
      <c r="H62" s="559" t="s">
        <v>12</v>
      </c>
      <c r="I62" s="560">
        <f>SUM(I7:I61)/2</f>
        <v>1447884.01</v>
      </c>
      <c r="J62" s="159">
        <f>I34+I29+I12+I9+I7</f>
        <v>1447884.01</v>
      </c>
    </row>
    <row r="63" spans="1:10" ht="28.5" hidden="1" x14ac:dyDescent="0.2">
      <c r="A63" s="540" t="s">
        <v>108</v>
      </c>
      <c r="B63" s="540" t="s">
        <v>352</v>
      </c>
      <c r="C63" s="551" t="s">
        <v>338</v>
      </c>
      <c r="D63" s="202" t="s">
        <v>340</v>
      </c>
      <c r="E63" s="549" t="s">
        <v>36</v>
      </c>
      <c r="F63" s="557"/>
      <c r="G63" s="557"/>
      <c r="H63" s="542">
        <f t="shared" ref="H63:H66" si="11">G63+(G63*$I$4)</f>
        <v>0</v>
      </c>
      <c r="I63" s="199">
        <f t="shared" ref="I63:I64" si="12">TRUNC(H63*F63,2)</f>
        <v>0</v>
      </c>
    </row>
    <row r="64" spans="1:10" hidden="1" x14ac:dyDescent="0.2">
      <c r="A64" s="540" t="s">
        <v>304</v>
      </c>
      <c r="B64" s="540" t="s">
        <v>353</v>
      </c>
      <c r="C64" s="540" t="s">
        <v>339</v>
      </c>
      <c r="D64" s="202" t="s">
        <v>341</v>
      </c>
      <c r="E64" s="549" t="s">
        <v>36</v>
      </c>
      <c r="F64" s="557"/>
      <c r="G64" s="557"/>
      <c r="H64" s="542">
        <f t="shared" si="11"/>
        <v>0</v>
      </c>
      <c r="I64" s="199">
        <f t="shared" si="12"/>
        <v>0</v>
      </c>
    </row>
    <row r="65" spans="1:9" ht="28.5" hidden="1" x14ac:dyDescent="0.2">
      <c r="A65" s="540" t="s">
        <v>304</v>
      </c>
      <c r="B65" s="540" t="s">
        <v>354</v>
      </c>
      <c r="C65" s="551" t="s">
        <v>342</v>
      </c>
      <c r="D65" s="202" t="s">
        <v>343</v>
      </c>
      <c r="E65" s="549" t="s">
        <v>36</v>
      </c>
      <c r="F65" s="557"/>
      <c r="G65" s="557"/>
      <c r="H65" s="542">
        <f t="shared" si="11"/>
        <v>0</v>
      </c>
      <c r="I65" s="199">
        <f t="shared" ref="I65" si="13">TRUNC(H65*F65,2)</f>
        <v>0</v>
      </c>
    </row>
    <row r="66" spans="1:9" ht="28.5" hidden="1" x14ac:dyDescent="0.2">
      <c r="A66" s="540" t="s">
        <v>108</v>
      </c>
      <c r="B66" s="540" t="s">
        <v>355</v>
      </c>
      <c r="C66" s="551" t="s">
        <v>344</v>
      </c>
      <c r="D66" s="202" t="s">
        <v>345</v>
      </c>
      <c r="E66" s="549" t="s">
        <v>36</v>
      </c>
      <c r="F66" s="557"/>
      <c r="G66" s="557"/>
      <c r="H66" s="542">
        <f t="shared" si="11"/>
        <v>0</v>
      </c>
      <c r="I66" s="199">
        <f t="shared" ref="I66" si="14">TRUNC(H66*F66,2)</f>
        <v>0</v>
      </c>
    </row>
    <row r="67" spans="1:9" x14ac:dyDescent="0.2">
      <c r="A67" s="456" t="s">
        <v>137</v>
      </c>
      <c r="B67" s="456"/>
      <c r="C67" s="456"/>
      <c r="D67" s="456"/>
      <c r="E67" s="456" t="s">
        <v>141</v>
      </c>
      <c r="F67" s="456"/>
      <c r="G67" s="561" t="s">
        <v>432</v>
      </c>
      <c r="H67" s="561"/>
      <c r="I67" s="561"/>
    </row>
    <row r="68" spans="1:9" x14ac:dyDescent="0.2">
      <c r="A68" s="456"/>
      <c r="B68" s="456"/>
      <c r="C68" s="456"/>
      <c r="D68" s="456"/>
      <c r="E68" s="456"/>
      <c r="F68" s="456"/>
      <c r="G68" s="561"/>
      <c r="H68" s="561"/>
      <c r="I68" s="561"/>
    </row>
    <row r="69" spans="1:9" x14ac:dyDescent="0.2">
      <c r="A69" s="215"/>
      <c r="B69" s="215"/>
      <c r="C69" s="215"/>
      <c r="D69" s="215"/>
      <c r="E69" s="562" t="s">
        <v>142</v>
      </c>
      <c r="F69" s="430"/>
      <c r="G69" s="430"/>
      <c r="H69" s="430"/>
      <c r="I69" s="430"/>
    </row>
    <row r="70" spans="1:9" ht="37.5" customHeight="1" x14ac:dyDescent="0.2">
      <c r="A70" s="215"/>
      <c r="B70" s="215"/>
      <c r="C70" s="215"/>
      <c r="D70" s="215"/>
      <c r="E70" s="562"/>
      <c r="F70" s="430"/>
      <c r="G70" s="430"/>
      <c r="H70" s="430"/>
      <c r="I70" s="430"/>
    </row>
    <row r="71" spans="1:9" x14ac:dyDescent="0.2">
      <c r="A71" s="464" t="s">
        <v>13</v>
      </c>
      <c r="B71" s="464"/>
      <c r="C71" s="464"/>
      <c r="D71" s="464"/>
      <c r="E71" s="215"/>
      <c r="F71" s="215"/>
      <c r="G71" s="215"/>
      <c r="H71" s="215"/>
      <c r="I71" s="215"/>
    </row>
    <row r="72" spans="1:9" x14ac:dyDescent="0.2">
      <c r="A72" s="464" t="s">
        <v>433</v>
      </c>
      <c r="B72" s="464"/>
      <c r="C72" s="464"/>
      <c r="D72" s="464"/>
      <c r="E72" s="215"/>
      <c r="F72" s="215"/>
      <c r="G72" s="215"/>
      <c r="H72" s="215"/>
      <c r="I72" s="215"/>
    </row>
    <row r="73" spans="1:9" ht="15.75" x14ac:dyDescent="0.25">
      <c r="A73" s="39"/>
      <c r="B73" s="39"/>
      <c r="C73" s="39"/>
      <c r="D73" s="39"/>
      <c r="E73" s="39"/>
      <c r="F73" s="39"/>
      <c r="G73" s="39"/>
      <c r="H73" s="39"/>
    </row>
    <row r="74" spans="1:9" ht="15.75" x14ac:dyDescent="0.25">
      <c r="A74" s="39"/>
      <c r="B74" s="39"/>
      <c r="C74" s="39"/>
      <c r="D74" s="39"/>
      <c r="E74" s="39"/>
      <c r="F74" s="39"/>
      <c r="G74" s="39"/>
      <c r="H74" s="39"/>
      <c r="I74" s="39"/>
    </row>
    <row r="75" spans="1:9" ht="15" x14ac:dyDescent="0.25">
      <c r="A75" s="40"/>
      <c r="B75" s="40"/>
      <c r="C75" s="40"/>
      <c r="D75" s="40"/>
      <c r="E75" s="40"/>
      <c r="F75" s="40"/>
      <c r="G75" s="40"/>
      <c r="H75" s="40"/>
      <c r="I75" s="40"/>
    </row>
    <row r="76" spans="1:9" ht="15" x14ac:dyDescent="0.25">
      <c r="A76" s="40"/>
      <c r="B76" s="40"/>
      <c r="C76" s="40"/>
      <c r="D76" s="40"/>
      <c r="E76" s="40"/>
      <c r="F76" s="40"/>
      <c r="G76" s="40"/>
      <c r="H76" s="40"/>
      <c r="I76" s="40"/>
    </row>
    <row r="77" spans="1:9" ht="15" x14ac:dyDescent="0.25">
      <c r="A77" s="40"/>
      <c r="B77" s="40"/>
      <c r="C77" s="40"/>
      <c r="D77" s="40"/>
      <c r="E77" s="40"/>
      <c r="F77" s="40"/>
      <c r="G77" s="40"/>
      <c r="H77" s="40"/>
      <c r="I77" s="40"/>
    </row>
    <row r="78" spans="1:9" ht="15" x14ac:dyDescent="0.25">
      <c r="A78" s="40"/>
      <c r="B78" s="40"/>
      <c r="C78" s="40"/>
      <c r="D78" s="40"/>
      <c r="E78" s="40"/>
      <c r="F78" s="40"/>
      <c r="G78" s="40"/>
      <c r="H78" s="40"/>
      <c r="I78" s="40"/>
    </row>
    <row r="79" spans="1:9" ht="15" x14ac:dyDescent="0.25">
      <c r="A79" s="40"/>
      <c r="B79" s="40"/>
      <c r="C79" s="40"/>
      <c r="D79" s="40"/>
      <c r="E79" s="40"/>
      <c r="F79" s="40"/>
      <c r="G79" s="40"/>
      <c r="H79" s="40"/>
      <c r="I79" s="40"/>
    </row>
    <row r="80" spans="1:9" ht="15" x14ac:dyDescent="0.25">
      <c r="A80" s="40"/>
      <c r="B80" s="40"/>
      <c r="C80" s="40"/>
      <c r="D80" s="40"/>
      <c r="E80" s="40"/>
      <c r="F80" s="40"/>
      <c r="G80" s="40"/>
      <c r="H80" s="40"/>
      <c r="I80" s="40"/>
    </row>
    <row r="81" spans="1:9" ht="15" x14ac:dyDescent="0.25">
      <c r="A81" s="40"/>
      <c r="B81" s="40"/>
      <c r="C81" s="40"/>
      <c r="D81" s="40"/>
      <c r="E81" s="40"/>
      <c r="F81" s="40"/>
      <c r="G81" s="40"/>
      <c r="H81" s="40"/>
      <c r="I81" s="40"/>
    </row>
    <row r="82" spans="1:9" ht="15" x14ac:dyDescent="0.25">
      <c r="A82" s="40"/>
      <c r="B82" s="40"/>
      <c r="C82" s="40"/>
      <c r="D82" s="40"/>
      <c r="E82" s="40"/>
      <c r="F82" s="40"/>
      <c r="G82" s="40"/>
      <c r="H82" s="40"/>
      <c r="I82" s="40"/>
    </row>
    <row r="83" spans="1:9" ht="15" x14ac:dyDescent="0.25">
      <c r="A83" s="40"/>
      <c r="B83" s="40"/>
      <c r="C83" s="40"/>
      <c r="D83" s="40"/>
      <c r="E83" s="40"/>
      <c r="F83" s="40"/>
      <c r="G83" s="40"/>
      <c r="H83" s="40"/>
      <c r="I83" s="40"/>
    </row>
    <row r="84" spans="1:9" ht="15" x14ac:dyDescent="0.25">
      <c r="A84" s="40"/>
      <c r="B84" s="40"/>
      <c r="C84" s="40"/>
      <c r="D84" s="40"/>
      <c r="E84" s="40"/>
      <c r="F84" s="40"/>
      <c r="G84" s="40"/>
      <c r="H84" s="40"/>
      <c r="I84" s="40"/>
    </row>
  </sheetData>
  <mergeCells count="19">
    <mergeCell ref="B1:F1"/>
    <mergeCell ref="B2:F2"/>
    <mergeCell ref="B3:F3"/>
    <mergeCell ref="G3:H3"/>
    <mergeCell ref="G4:H4"/>
    <mergeCell ref="G1:H2"/>
    <mergeCell ref="B4:F4"/>
    <mergeCell ref="A5:I5"/>
    <mergeCell ref="E67:F68"/>
    <mergeCell ref="G67:I68"/>
    <mergeCell ref="A67:D68"/>
    <mergeCell ref="A62:G62"/>
    <mergeCell ref="E72:I72"/>
    <mergeCell ref="E69:I69"/>
    <mergeCell ref="E70:I70"/>
    <mergeCell ref="E71:I71"/>
    <mergeCell ref="A69:D70"/>
    <mergeCell ref="A71:D71"/>
    <mergeCell ref="A72:D72"/>
  </mergeCells>
  <phoneticPr fontId="19" type="noConversion"/>
  <pageMargins left="0.25" right="0.25" top="1.09375" bottom="0.75" header="0.3" footer="0.3"/>
  <pageSetup paperSize="9" scale="70" fitToWidth="0" fitToHeight="0" orientation="landscape" r:id="rId1"/>
  <headerFooter>
    <oddHeader>&amp;C&amp;G</oddHeader>
    <oddFooter>&amp;CRua Antenor Mamedes, nº 911, Fone/Fax (65) 3261-1736
CEP: 78.260-000 – Araputanga – Mato Grosso
e-mail: engenharia@araputanga.mt.gov.br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57"/>
  <sheetViews>
    <sheetView topLeftCell="A7" workbookViewId="0">
      <selection activeCell="E11" sqref="E11"/>
    </sheetView>
  </sheetViews>
  <sheetFormatPr defaultColWidth="12.625" defaultRowHeight="15" customHeight="1" x14ac:dyDescent="0.2"/>
  <cols>
    <col min="1" max="1" width="13.875" customWidth="1"/>
    <col min="2" max="2" width="10.25" customWidth="1"/>
    <col min="3" max="3" width="47.125" customWidth="1"/>
    <col min="4" max="4" width="8" customWidth="1"/>
    <col min="5" max="5" width="15.125" customWidth="1"/>
    <col min="6" max="6" width="15.75" customWidth="1"/>
    <col min="7" max="7" width="12.375" customWidth="1"/>
    <col min="8" max="26" width="7.625" customWidth="1"/>
  </cols>
  <sheetData>
    <row r="1" spans="1:8" ht="14.25" x14ac:dyDescent="0.2">
      <c r="A1" s="41" t="str">
        <f>PLANILHA!A1</f>
        <v>Obra:</v>
      </c>
      <c r="B1" s="342" t="str">
        <f>PLANILHA!B1</f>
        <v>Construção de rede de drenagem pluvial</v>
      </c>
      <c r="C1" s="229"/>
      <c r="D1" s="229"/>
      <c r="E1" s="229"/>
      <c r="F1" s="229"/>
      <c r="G1" s="249"/>
    </row>
    <row r="2" spans="1:8" ht="14.25" x14ac:dyDescent="0.2">
      <c r="A2" s="41" t="str">
        <f>PLANILHA!A2</f>
        <v>Proprietário:</v>
      </c>
      <c r="B2" s="342" t="str">
        <f>PLANILHA!B2</f>
        <v>Prefeitura Municipal de Indiavaí</v>
      </c>
      <c r="C2" s="229"/>
      <c r="D2" s="229"/>
      <c r="E2" s="229"/>
      <c r="F2" s="229"/>
      <c r="G2" s="249"/>
    </row>
    <row r="3" spans="1:8" ht="14.25" x14ac:dyDescent="0.2">
      <c r="A3" s="41" t="str">
        <f>PLANILHA!A3</f>
        <v>Local:</v>
      </c>
      <c r="B3" s="342" t="str">
        <f>PLANILHA!B3</f>
        <v>Avenida Governador Jayme Campos</v>
      </c>
      <c r="C3" s="229"/>
      <c r="D3" s="229"/>
      <c r="E3" s="229"/>
      <c r="F3" s="229"/>
      <c r="G3" s="249"/>
    </row>
    <row r="4" spans="1:8" ht="14.25" x14ac:dyDescent="0.2">
      <c r="A4" s="41" t="str">
        <f>PLANILHA!A4</f>
        <v>Data:</v>
      </c>
      <c r="B4" s="343" t="str">
        <f>PLANILHA!B4</f>
        <v>30 de julho de 2021</v>
      </c>
      <c r="C4" s="229"/>
      <c r="D4" s="229"/>
      <c r="E4" s="229"/>
      <c r="F4" s="229"/>
      <c r="G4" s="249"/>
    </row>
    <row r="5" spans="1:8" ht="12" customHeight="1" thickBot="1" x14ac:dyDescent="0.25">
      <c r="A5" s="42"/>
      <c r="B5" s="43"/>
      <c r="C5" s="43"/>
      <c r="D5" s="43"/>
      <c r="E5" s="43"/>
      <c r="F5" s="43"/>
      <c r="G5" s="43"/>
    </row>
    <row r="6" spans="1:8" ht="22.5" customHeight="1" thickBot="1" x14ac:dyDescent="0.25">
      <c r="A6" s="335" t="s">
        <v>45</v>
      </c>
      <c r="B6" s="336"/>
      <c r="C6" s="336"/>
      <c r="D6" s="336"/>
      <c r="E6" s="336"/>
      <c r="F6" s="336"/>
      <c r="G6" s="337"/>
    </row>
    <row r="7" spans="1:8" ht="22.5" customHeight="1" x14ac:dyDescent="0.2">
      <c r="A7" s="338" t="s">
        <v>28</v>
      </c>
      <c r="B7" s="226"/>
      <c r="C7" s="339"/>
      <c r="D7" s="340" t="s">
        <v>46</v>
      </c>
      <c r="E7" s="226"/>
      <c r="F7" s="226"/>
      <c r="G7" s="341"/>
    </row>
    <row r="8" spans="1:8" ht="30.75" thickBot="1" x14ac:dyDescent="0.25">
      <c r="A8" s="140" t="s">
        <v>47</v>
      </c>
      <c r="B8" s="44" t="s">
        <v>48</v>
      </c>
      <c r="C8" s="44" t="s">
        <v>6</v>
      </c>
      <c r="D8" s="45" t="s">
        <v>42</v>
      </c>
      <c r="E8" s="46" t="s">
        <v>49</v>
      </c>
      <c r="F8" s="47" t="s">
        <v>50</v>
      </c>
      <c r="G8" s="141" t="s">
        <v>51</v>
      </c>
    </row>
    <row r="9" spans="1:8" ht="42.75" x14ac:dyDescent="0.2">
      <c r="A9" s="142" t="s">
        <v>52</v>
      </c>
      <c r="B9" s="143">
        <v>4417</v>
      </c>
      <c r="C9" s="144" t="s">
        <v>53</v>
      </c>
      <c r="D9" s="143" t="s">
        <v>54</v>
      </c>
      <c r="E9" s="145" t="s">
        <v>55</v>
      </c>
      <c r="F9" s="48">
        <v>4.0999999999999996</v>
      </c>
      <c r="G9" s="146">
        <f t="shared" ref="G9:G15" si="0">F9*E9</f>
        <v>4.0999999999999996</v>
      </c>
    </row>
    <row r="10" spans="1:8" ht="42.75" x14ac:dyDescent="0.2">
      <c r="A10" s="147" t="s">
        <v>52</v>
      </c>
      <c r="B10" s="49">
        <v>4491</v>
      </c>
      <c r="C10" s="50" t="s">
        <v>56</v>
      </c>
      <c r="D10" s="49" t="s">
        <v>54</v>
      </c>
      <c r="E10" s="48" t="s">
        <v>57</v>
      </c>
      <c r="F10" s="48">
        <v>8.14</v>
      </c>
      <c r="G10" s="148">
        <f t="shared" si="0"/>
        <v>32.56</v>
      </c>
    </row>
    <row r="11" spans="1:8" ht="28.5" x14ac:dyDescent="0.2">
      <c r="A11" s="147" t="s">
        <v>52</v>
      </c>
      <c r="B11" s="49">
        <v>4813</v>
      </c>
      <c r="C11" s="50" t="s">
        <v>58</v>
      </c>
      <c r="D11" s="49" t="s">
        <v>59</v>
      </c>
      <c r="E11" s="48" t="s">
        <v>55</v>
      </c>
      <c r="F11" s="48">
        <v>225</v>
      </c>
      <c r="G11" s="148">
        <f t="shared" si="0"/>
        <v>225</v>
      </c>
    </row>
    <row r="12" spans="1:8" ht="28.5" x14ac:dyDescent="0.2">
      <c r="A12" s="147" t="s">
        <v>52</v>
      </c>
      <c r="B12" s="49">
        <v>5075</v>
      </c>
      <c r="C12" s="50" t="s">
        <v>60</v>
      </c>
      <c r="D12" s="49" t="s">
        <v>61</v>
      </c>
      <c r="E12" s="48" t="s">
        <v>62</v>
      </c>
      <c r="F12" s="48">
        <v>18.309999999999999</v>
      </c>
      <c r="G12" s="148">
        <f t="shared" si="0"/>
        <v>2.0141</v>
      </c>
    </row>
    <row r="13" spans="1:8" ht="28.5" x14ac:dyDescent="0.2">
      <c r="A13" s="147" t="s">
        <v>63</v>
      </c>
      <c r="B13" s="49">
        <v>88262</v>
      </c>
      <c r="C13" s="50" t="s">
        <v>64</v>
      </c>
      <c r="D13" s="49" t="s">
        <v>65</v>
      </c>
      <c r="E13" s="48" t="s">
        <v>55</v>
      </c>
      <c r="F13" s="48">
        <v>19.649999999999999</v>
      </c>
      <c r="G13" s="148">
        <f t="shared" si="0"/>
        <v>19.649999999999999</v>
      </c>
    </row>
    <row r="14" spans="1:8" ht="14.25" x14ac:dyDescent="0.2">
      <c r="A14" s="147" t="s">
        <v>63</v>
      </c>
      <c r="B14" s="49">
        <v>88316</v>
      </c>
      <c r="C14" s="50" t="s">
        <v>66</v>
      </c>
      <c r="D14" s="49" t="s">
        <v>65</v>
      </c>
      <c r="E14" s="48" t="s">
        <v>67</v>
      </c>
      <c r="F14" s="48">
        <v>15.65</v>
      </c>
      <c r="G14" s="148">
        <f t="shared" si="0"/>
        <v>31.3</v>
      </c>
    </row>
    <row r="15" spans="1:8" ht="57.75" thickBot="1" x14ac:dyDescent="0.25">
      <c r="A15" s="149" t="s">
        <v>63</v>
      </c>
      <c r="B15" s="150">
        <v>94962</v>
      </c>
      <c r="C15" s="151" t="s">
        <v>68</v>
      </c>
      <c r="D15" s="150" t="s">
        <v>69</v>
      </c>
      <c r="E15" s="152" t="s">
        <v>70</v>
      </c>
      <c r="F15" s="152">
        <v>302.63</v>
      </c>
      <c r="G15" s="153">
        <f t="shared" si="0"/>
        <v>3.0263</v>
      </c>
    </row>
    <row r="16" spans="1:8" ht="15.75" thickBot="1" x14ac:dyDescent="0.3">
      <c r="A16" s="136"/>
      <c r="B16" s="136"/>
      <c r="C16" s="136"/>
      <c r="D16" s="136"/>
      <c r="E16" s="136"/>
      <c r="F16" s="138" t="s">
        <v>71</v>
      </c>
      <c r="G16" s="139">
        <f>TRUNC(G14+G15+G13+G12+G11+G10+G9,2)</f>
        <v>317.64999999999998</v>
      </c>
      <c r="H16" s="54"/>
    </row>
    <row r="17" spans="1:8" thickBot="1" x14ac:dyDescent="0.25">
      <c r="A17" s="42"/>
      <c r="B17" s="42"/>
      <c r="C17" s="42"/>
      <c r="D17" s="42"/>
      <c r="E17" s="42"/>
      <c r="F17" s="42"/>
      <c r="G17" s="42"/>
    </row>
    <row r="18" spans="1:8" ht="22.5" customHeight="1" thickBot="1" x14ac:dyDescent="0.25">
      <c r="A18" s="335" t="s">
        <v>72</v>
      </c>
      <c r="B18" s="336"/>
      <c r="C18" s="336"/>
      <c r="D18" s="336"/>
      <c r="E18" s="336"/>
      <c r="F18" s="336"/>
      <c r="G18" s="337"/>
    </row>
    <row r="19" spans="1:8" ht="30.75" customHeight="1" x14ac:dyDescent="0.2">
      <c r="A19" s="338" t="s">
        <v>116</v>
      </c>
      <c r="B19" s="226"/>
      <c r="C19" s="339"/>
      <c r="D19" s="340" t="s">
        <v>123</v>
      </c>
      <c r="E19" s="226"/>
      <c r="F19" s="226"/>
      <c r="G19" s="341"/>
    </row>
    <row r="20" spans="1:8" ht="30.75" thickBot="1" x14ac:dyDescent="0.25">
      <c r="A20" s="140" t="s">
        <v>47</v>
      </c>
      <c r="B20" s="44" t="s">
        <v>74</v>
      </c>
      <c r="C20" s="44" t="s">
        <v>6</v>
      </c>
      <c r="D20" s="45"/>
      <c r="E20" s="46" t="s">
        <v>49</v>
      </c>
      <c r="F20" s="47" t="s">
        <v>50</v>
      </c>
      <c r="G20" s="141" t="s">
        <v>51</v>
      </c>
    </row>
    <row r="21" spans="1:8" ht="27" customHeight="1" x14ac:dyDescent="0.2">
      <c r="A21" s="147" t="s">
        <v>63</v>
      </c>
      <c r="B21" s="49">
        <v>90778</v>
      </c>
      <c r="C21" s="50" t="s">
        <v>119</v>
      </c>
      <c r="D21" s="49" t="s">
        <v>65</v>
      </c>
      <c r="E21" s="81">
        <v>8</v>
      </c>
      <c r="F21" s="48">
        <v>105.29</v>
      </c>
      <c r="G21" s="146">
        <f>F21*E21</f>
        <v>842.32</v>
      </c>
    </row>
    <row r="22" spans="1:8" ht="27" customHeight="1" thickBot="1" x14ac:dyDescent="0.25">
      <c r="A22" s="154" t="s">
        <v>63</v>
      </c>
      <c r="B22" s="51">
        <v>90776</v>
      </c>
      <c r="C22" s="52" t="s">
        <v>120</v>
      </c>
      <c r="D22" s="51" t="s">
        <v>65</v>
      </c>
      <c r="E22" s="82">
        <v>80</v>
      </c>
      <c r="F22" s="53">
        <v>23.11</v>
      </c>
      <c r="G22" s="155">
        <f>F22*E22</f>
        <v>1848.8</v>
      </c>
    </row>
    <row r="23" spans="1:8" ht="15.75" customHeight="1" thickBot="1" x14ac:dyDescent="0.25">
      <c r="A23" s="149" t="s">
        <v>63</v>
      </c>
      <c r="B23" s="150">
        <v>90781</v>
      </c>
      <c r="C23" s="151" t="s">
        <v>121</v>
      </c>
      <c r="D23" s="150" t="s">
        <v>65</v>
      </c>
      <c r="E23" s="156">
        <v>16</v>
      </c>
      <c r="F23" s="152">
        <v>17.100000000000001</v>
      </c>
      <c r="G23" s="153">
        <f>F23*E23</f>
        <v>273.60000000000002</v>
      </c>
    </row>
    <row r="24" spans="1:8" ht="15.75" customHeight="1" thickBot="1" x14ac:dyDescent="0.3">
      <c r="A24" s="136"/>
      <c r="B24" s="136"/>
      <c r="C24" s="136"/>
      <c r="D24" s="136"/>
      <c r="E24" s="136"/>
      <c r="F24" s="138" t="s">
        <v>71</v>
      </c>
      <c r="G24" s="139">
        <f>SUM(G21:G23)</f>
        <v>2964.72</v>
      </c>
      <c r="H24" s="54"/>
    </row>
    <row r="25" spans="1:8" ht="15.75" customHeight="1" thickBot="1" x14ac:dyDescent="0.25">
      <c r="A25" s="42"/>
      <c r="B25" s="42"/>
      <c r="C25" s="42"/>
      <c r="D25" s="42"/>
      <c r="E25" s="42"/>
      <c r="F25" s="42"/>
      <c r="G25" s="42"/>
    </row>
    <row r="26" spans="1:8" ht="27" customHeight="1" thickBot="1" x14ac:dyDescent="0.25">
      <c r="A26" s="335" t="s">
        <v>76</v>
      </c>
      <c r="B26" s="336"/>
      <c r="C26" s="336"/>
      <c r="D26" s="336"/>
      <c r="E26" s="336"/>
      <c r="F26" s="336"/>
      <c r="G26" s="337"/>
    </row>
    <row r="27" spans="1:8" ht="22.5" customHeight="1" x14ac:dyDescent="0.2">
      <c r="A27" s="338" t="s">
        <v>124</v>
      </c>
      <c r="B27" s="226"/>
      <c r="C27" s="339"/>
      <c r="D27" s="340" t="s">
        <v>77</v>
      </c>
      <c r="E27" s="226"/>
      <c r="F27" s="226"/>
      <c r="G27" s="341"/>
    </row>
    <row r="28" spans="1:8" ht="35.25" customHeight="1" thickBot="1" x14ac:dyDescent="0.25">
      <c r="A28" s="140" t="s">
        <v>47</v>
      </c>
      <c r="B28" s="44" t="s">
        <v>74</v>
      </c>
      <c r="C28" s="44" t="s">
        <v>6</v>
      </c>
      <c r="D28" s="45"/>
      <c r="E28" s="46" t="s">
        <v>49</v>
      </c>
      <c r="F28" s="47" t="s">
        <v>50</v>
      </c>
      <c r="G28" s="141" t="s">
        <v>51</v>
      </c>
    </row>
    <row r="29" spans="1:8" ht="45.75" customHeight="1" x14ac:dyDescent="0.2">
      <c r="A29" s="147" t="s">
        <v>52</v>
      </c>
      <c r="B29" s="49">
        <v>11301</v>
      </c>
      <c r="C29" s="50" t="s">
        <v>122</v>
      </c>
      <c r="D29" s="49" t="s">
        <v>42</v>
      </c>
      <c r="E29" s="81">
        <v>1</v>
      </c>
      <c r="F29" s="48">
        <v>660.46</v>
      </c>
      <c r="G29" s="148">
        <f>F29*E29</f>
        <v>660.46</v>
      </c>
    </row>
    <row r="30" spans="1:8" ht="15.75" customHeight="1" thickBot="1" x14ac:dyDescent="0.25">
      <c r="A30" s="154" t="s">
        <v>63</v>
      </c>
      <c r="B30" s="51">
        <v>88309</v>
      </c>
      <c r="C30" s="52" t="s">
        <v>75</v>
      </c>
      <c r="D30" s="51" t="s">
        <v>65</v>
      </c>
      <c r="E30" s="82">
        <v>1.5</v>
      </c>
      <c r="F30" s="53">
        <v>19.86</v>
      </c>
      <c r="G30" s="155">
        <f>F30*E30</f>
        <v>29.79</v>
      </c>
    </row>
    <row r="31" spans="1:8" ht="15.75" customHeight="1" thickBot="1" x14ac:dyDescent="0.25">
      <c r="A31" s="154" t="s">
        <v>63</v>
      </c>
      <c r="B31" s="51">
        <v>88316</v>
      </c>
      <c r="C31" s="52" t="s">
        <v>66</v>
      </c>
      <c r="D31" s="51" t="s">
        <v>65</v>
      </c>
      <c r="E31" s="82">
        <v>1.5</v>
      </c>
      <c r="F31" s="53">
        <v>15.65</v>
      </c>
      <c r="G31" s="155">
        <f>F31*E31</f>
        <v>23.475000000000001</v>
      </c>
    </row>
    <row r="32" spans="1:8" ht="60.75" customHeight="1" thickBot="1" x14ac:dyDescent="0.25">
      <c r="A32" s="149" t="s">
        <v>63</v>
      </c>
      <c r="B32" s="150">
        <v>87316</v>
      </c>
      <c r="C32" s="151" t="s">
        <v>105</v>
      </c>
      <c r="D32" s="150" t="s">
        <v>73</v>
      </c>
      <c r="E32" s="156">
        <v>7.4999999999999997E-3</v>
      </c>
      <c r="F32" s="152">
        <v>367.04</v>
      </c>
      <c r="G32" s="153">
        <f>F32*E32</f>
        <v>2.7528000000000001</v>
      </c>
    </row>
    <row r="33" spans="1:7" ht="15.75" customHeight="1" thickBot="1" x14ac:dyDescent="0.25">
      <c r="A33" s="136"/>
      <c r="B33" s="136"/>
      <c r="C33" s="136"/>
      <c r="D33" s="136"/>
      <c r="E33" s="136"/>
      <c r="F33" s="138" t="s">
        <v>71</v>
      </c>
      <c r="G33" s="157">
        <f>SUM(G29:G30)</f>
        <v>690.25</v>
      </c>
    </row>
    <row r="34" spans="1:7" ht="15.75" customHeight="1" thickBot="1" x14ac:dyDescent="0.25">
      <c r="A34" s="136"/>
      <c r="B34" s="136"/>
      <c r="C34" s="136"/>
      <c r="D34" s="136"/>
      <c r="E34" s="136"/>
      <c r="F34" s="137"/>
      <c r="G34" s="137"/>
    </row>
    <row r="35" spans="1:7" ht="15.75" customHeight="1" x14ac:dyDescent="0.2">
      <c r="A35" s="288" t="s">
        <v>137</v>
      </c>
      <c r="B35" s="313"/>
      <c r="C35" s="289"/>
      <c r="D35" s="288" t="s">
        <v>142</v>
      </c>
      <c r="E35" s="313"/>
      <c r="F35" s="313"/>
      <c r="G35" s="289"/>
    </row>
    <row r="36" spans="1:7" ht="15.75" customHeight="1" thickBot="1" x14ac:dyDescent="0.25">
      <c r="A36" s="290"/>
      <c r="B36" s="314"/>
      <c r="C36" s="291"/>
      <c r="D36" s="290"/>
      <c r="E36" s="314"/>
      <c r="F36" s="314"/>
      <c r="G36" s="291"/>
    </row>
    <row r="37" spans="1:7" ht="15.75" customHeight="1" x14ac:dyDescent="0.2">
      <c r="A37" s="302"/>
      <c r="B37" s="303"/>
      <c r="C37" s="254"/>
      <c r="D37" s="329"/>
      <c r="E37" s="330"/>
      <c r="F37" s="330"/>
      <c r="G37" s="331"/>
    </row>
    <row r="38" spans="1:7" ht="15.75" customHeight="1" x14ac:dyDescent="0.2">
      <c r="A38" s="264"/>
      <c r="B38" s="265"/>
      <c r="C38" s="324"/>
      <c r="D38" s="329"/>
      <c r="E38" s="330"/>
      <c r="F38" s="330"/>
      <c r="G38" s="331"/>
    </row>
    <row r="39" spans="1:7" ht="15.75" customHeight="1" x14ac:dyDescent="0.2">
      <c r="A39" s="318" t="s">
        <v>13</v>
      </c>
      <c r="B39" s="319"/>
      <c r="C39" s="320"/>
      <c r="D39" s="329"/>
      <c r="E39" s="330"/>
      <c r="F39" s="330"/>
      <c r="G39" s="331"/>
    </row>
    <row r="40" spans="1:7" ht="15.75" customHeight="1" thickBot="1" x14ac:dyDescent="0.25">
      <c r="A40" s="300" t="s">
        <v>14</v>
      </c>
      <c r="B40" s="301"/>
      <c r="C40" s="262"/>
      <c r="D40" s="332"/>
      <c r="E40" s="333"/>
      <c r="F40" s="333"/>
      <c r="G40" s="334"/>
    </row>
    <row r="41" spans="1:7" ht="15" customHeight="1" x14ac:dyDescent="0.2">
      <c r="A41" s="42"/>
      <c r="B41" s="42"/>
      <c r="C41" s="42"/>
      <c r="D41" s="42"/>
      <c r="E41" s="42"/>
      <c r="F41" s="42"/>
      <c r="G41" s="42"/>
    </row>
    <row r="42" spans="1:7" ht="15.75" customHeight="1" x14ac:dyDescent="0.2">
      <c r="A42" s="42"/>
      <c r="B42" s="42"/>
      <c r="C42" s="55"/>
      <c r="D42" s="42"/>
      <c r="E42" s="42"/>
      <c r="F42" s="42"/>
    </row>
    <row r="43" spans="1:7" ht="15.75" customHeight="1" x14ac:dyDescent="0.2">
      <c r="A43" s="42"/>
      <c r="B43" s="42"/>
      <c r="C43" s="55"/>
      <c r="D43" s="42"/>
      <c r="E43" s="42"/>
      <c r="F43" s="42"/>
    </row>
    <row r="44" spans="1:7" ht="15.75" customHeight="1" x14ac:dyDescent="0.2">
      <c r="A44" s="42"/>
      <c r="B44" s="42"/>
      <c r="C44" s="55"/>
      <c r="D44" s="42"/>
      <c r="E44" s="42"/>
      <c r="F44" s="42"/>
    </row>
    <row r="45" spans="1:7" ht="15.75" customHeight="1" x14ac:dyDescent="0.25">
      <c r="A45" s="40"/>
      <c r="B45" s="40"/>
      <c r="C45" s="40"/>
      <c r="D45" s="40"/>
      <c r="E45" s="40"/>
      <c r="F45" s="40"/>
    </row>
    <row r="46" spans="1:7" ht="15.75" customHeight="1" x14ac:dyDescent="0.25">
      <c r="A46" s="40"/>
      <c r="B46" s="40"/>
      <c r="C46" s="40"/>
      <c r="D46" s="40"/>
      <c r="E46" s="40"/>
      <c r="F46" s="40"/>
    </row>
    <row r="47" spans="1:7" ht="15.75" customHeight="1" x14ac:dyDescent="0.2"/>
    <row r="48" spans="1: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</sheetData>
  <mergeCells count="19">
    <mergeCell ref="A7:C7"/>
    <mergeCell ref="D7:G7"/>
    <mergeCell ref="B1:G1"/>
    <mergeCell ref="B2:G2"/>
    <mergeCell ref="B3:G3"/>
    <mergeCell ref="B4:G4"/>
    <mergeCell ref="A6:G6"/>
    <mergeCell ref="A18:G18"/>
    <mergeCell ref="A19:C19"/>
    <mergeCell ref="D19:G19"/>
    <mergeCell ref="A26:G26"/>
    <mergeCell ref="A27:C27"/>
    <mergeCell ref="D27:G27"/>
    <mergeCell ref="A35:C36"/>
    <mergeCell ref="D35:G36"/>
    <mergeCell ref="A37:C38"/>
    <mergeCell ref="D37:G40"/>
    <mergeCell ref="A39:C39"/>
    <mergeCell ref="A40:C40"/>
  </mergeCells>
  <conditionalFormatting sqref="A9:F15">
    <cfRule type="expression" dxfId="17" priority="15" stopIfTrue="1">
      <formula>AND($A9&lt;&gt;"COMPOSICAO",$A9&lt;&gt;"INSUMO",$A9&lt;&gt;"")</formula>
    </cfRule>
    <cfRule type="expression" dxfId="16" priority="16" stopIfTrue="1">
      <formula>AND(OR($A9="COMPOSICAO",$A9="INSUMO",$A9&lt;&gt;""),$A9&lt;&gt;"")</formula>
    </cfRule>
  </conditionalFormatting>
  <conditionalFormatting sqref="A21:F23">
    <cfRule type="expression" dxfId="15" priority="9" stopIfTrue="1">
      <formula>AND($A21&lt;&gt;"COMPOSICAO",$A21&lt;&gt;"INSUMO",$A21&lt;&gt;"")</formula>
    </cfRule>
    <cfRule type="expression" dxfId="14" priority="10" stopIfTrue="1">
      <formula>AND(OR($A21="COMPOSICAO",$A21="INSUMO",$A21&lt;&gt;""),$A21&lt;&gt;"")</formula>
    </cfRule>
  </conditionalFormatting>
  <conditionalFormatting sqref="A29:F32">
    <cfRule type="expression" dxfId="13" priority="1" stopIfTrue="1">
      <formula>AND($A29&lt;&gt;"COMPOSICAO",$A29&lt;&gt;"INSUMO",$A29&lt;&gt;"")</formula>
    </cfRule>
    <cfRule type="expression" dxfId="12" priority="2" stopIfTrue="1">
      <formula>AND(OR($A29="COMPOSICAO",$A29="INSUMO",$A29&lt;&gt;""),$A29&lt;&gt;"")</formula>
    </cfRule>
  </conditionalFormatting>
  <conditionalFormatting sqref="G9:G15">
    <cfRule type="expression" dxfId="11" priority="17" stopIfTrue="1">
      <formula>AND(#REF!&lt;&gt;"COMPOSICAO",#REF!&lt;&gt;"INSUMO",#REF!&lt;&gt;"")</formula>
    </cfRule>
    <cfRule type="expression" dxfId="10" priority="18" stopIfTrue="1">
      <formula>AND(OR(#REF!="COMPOSICAO",#REF!="INSUMO",#REF!&lt;&gt;""),#REF!&lt;&gt;"")</formula>
    </cfRule>
  </conditionalFormatting>
  <conditionalFormatting sqref="G21:G23">
    <cfRule type="expression" dxfId="9" priority="11" stopIfTrue="1">
      <formula>AND(#REF!&lt;&gt;"COMPOSICAO",#REF!&lt;&gt;"INSUMO",#REF!&lt;&gt;"")</formula>
    </cfRule>
    <cfRule type="expression" dxfId="8" priority="12" stopIfTrue="1">
      <formula>AND(OR(#REF!="COMPOSICAO",#REF!="INSUMO",#REF!&lt;&gt;""),#REF!&lt;&gt;"")</formula>
    </cfRule>
  </conditionalFormatting>
  <conditionalFormatting sqref="G29:G32">
    <cfRule type="expression" dxfId="7" priority="3" stopIfTrue="1">
      <formula>AND(#REF!&lt;&gt;"COMPOSICAO",#REF!&lt;&gt;"INSUMO",#REF!&lt;&gt;"")</formula>
    </cfRule>
    <cfRule type="expression" dxfId="6" priority="4" stopIfTrue="1">
      <formula>AND(OR(#REF!="COMPOSICAO",#REF!="INSUMO",#REF!&lt;&gt;""),#REF!&lt;&gt;"")</formula>
    </cfRule>
  </conditionalFormatting>
  <pageMargins left="0.511811024" right="0.511811024" top="1.6979166666666667" bottom="1.0729166666666667" header="0" footer="0"/>
  <pageSetup paperSize="9" fitToHeight="0" orientation="portrait" r:id="rId1"/>
  <headerFooter>
    <oddFooter>&amp;CRua Rui Barbosa, 310 - Centro - Araputanga-MT – Cel: (65) 99613-9294 E-mail: carolina.o.almeida@hotmail.com / escalaprojeta@gmail.com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3"/>
  <sheetViews>
    <sheetView view="pageLayout" topLeftCell="A4" zoomScaleNormal="100" workbookViewId="0">
      <selection activeCell="E24" sqref="E24"/>
    </sheetView>
  </sheetViews>
  <sheetFormatPr defaultColWidth="12.625" defaultRowHeight="15" customHeight="1" x14ac:dyDescent="0.2"/>
  <cols>
    <col min="1" max="1" width="11.875" customWidth="1"/>
    <col min="2" max="2" width="50.5" customWidth="1"/>
    <col min="3" max="3" width="14.5" customWidth="1"/>
    <col min="4" max="4" width="10.125" customWidth="1"/>
    <col min="5" max="5" width="13.125" customWidth="1"/>
    <col min="6" max="6" width="11.375" customWidth="1"/>
    <col min="7" max="7" width="12.875" customWidth="1"/>
    <col min="8" max="8" width="10.25" customWidth="1"/>
    <col min="9" max="9" width="15" customWidth="1"/>
    <col min="10" max="10" width="9.25" customWidth="1"/>
    <col min="11" max="11" width="9.5" customWidth="1"/>
    <col min="12" max="23" width="7.625" customWidth="1"/>
  </cols>
  <sheetData>
    <row r="1" spans="1:11" ht="14.25" x14ac:dyDescent="0.2">
      <c r="A1" s="123" t="s">
        <v>0</v>
      </c>
      <c r="B1" s="344" t="str">
        <f>PLANILHA!B1</f>
        <v>Construção de rede de drenagem pluvial</v>
      </c>
      <c r="C1" s="345"/>
      <c r="D1" s="345"/>
      <c r="E1" s="345"/>
      <c r="F1" s="345"/>
      <c r="G1" s="345"/>
      <c r="H1" s="345"/>
      <c r="I1" s="345"/>
      <c r="J1" s="345"/>
      <c r="K1" s="346"/>
    </row>
    <row r="2" spans="1:11" ht="14.25" x14ac:dyDescent="0.2">
      <c r="A2" s="124" t="s">
        <v>1</v>
      </c>
      <c r="B2" s="347" t="str">
        <f>PLANILHA!B2</f>
        <v>Prefeitura Municipal de Indiavaí</v>
      </c>
      <c r="C2" s="229"/>
      <c r="D2" s="229"/>
      <c r="E2" s="229"/>
      <c r="F2" s="229"/>
      <c r="G2" s="229"/>
      <c r="H2" s="229"/>
      <c r="I2" s="229"/>
      <c r="J2" s="229"/>
      <c r="K2" s="348"/>
    </row>
    <row r="3" spans="1:11" ht="14.25" x14ac:dyDescent="0.2">
      <c r="A3" s="124" t="s">
        <v>2</v>
      </c>
      <c r="B3" s="347" t="str">
        <f>PLANILHA!B3</f>
        <v>Avenida Governador Jayme Campos</v>
      </c>
      <c r="C3" s="229"/>
      <c r="D3" s="229"/>
      <c r="E3" s="229"/>
      <c r="F3" s="229"/>
      <c r="G3" s="229"/>
      <c r="H3" s="229"/>
      <c r="I3" s="229"/>
      <c r="J3" s="229"/>
      <c r="K3" s="348"/>
    </row>
    <row r="4" spans="1:11" thickBot="1" x14ac:dyDescent="0.25">
      <c r="A4" s="125" t="s">
        <v>3</v>
      </c>
      <c r="B4" s="349" t="str">
        <f>DESCRIÇÃO!B4</f>
        <v>30 de julho de 2021</v>
      </c>
      <c r="C4" s="229"/>
      <c r="D4" s="229"/>
      <c r="E4" s="229"/>
      <c r="F4" s="229"/>
      <c r="G4" s="229"/>
      <c r="H4" s="229"/>
      <c r="I4" s="229"/>
      <c r="J4" s="229"/>
      <c r="K4" s="348"/>
    </row>
    <row r="5" spans="1:11" ht="15.75" thickBot="1" x14ac:dyDescent="0.25">
      <c r="A5" s="359" t="s">
        <v>78</v>
      </c>
      <c r="B5" s="258"/>
      <c r="C5" s="258"/>
      <c r="D5" s="258"/>
      <c r="E5" s="258"/>
      <c r="F5" s="258"/>
      <c r="G5" s="258"/>
      <c r="H5" s="258"/>
      <c r="I5" s="258"/>
      <c r="J5" s="258"/>
      <c r="K5" s="360"/>
    </row>
    <row r="6" spans="1:11" x14ac:dyDescent="0.2">
      <c r="A6" s="350" t="s">
        <v>74</v>
      </c>
      <c r="B6" s="353" t="s">
        <v>79</v>
      </c>
      <c r="C6" s="356" t="s">
        <v>80</v>
      </c>
      <c r="D6" s="357"/>
      <c r="E6" s="361" t="s">
        <v>81</v>
      </c>
      <c r="F6" s="251"/>
      <c r="G6" s="251"/>
      <c r="H6" s="251"/>
      <c r="I6" s="251"/>
      <c r="J6" s="251"/>
      <c r="K6" s="362"/>
    </row>
    <row r="7" spans="1:11" x14ac:dyDescent="0.2">
      <c r="A7" s="351"/>
      <c r="B7" s="354"/>
      <c r="C7" s="358"/>
      <c r="D7" s="252"/>
      <c r="E7" s="363" t="s">
        <v>82</v>
      </c>
      <c r="F7" s="249"/>
      <c r="G7" s="363" t="s">
        <v>83</v>
      </c>
      <c r="H7" s="249"/>
      <c r="I7" s="363" t="s">
        <v>84</v>
      </c>
      <c r="J7" s="249"/>
      <c r="K7" s="126" t="s">
        <v>12</v>
      </c>
    </row>
    <row r="8" spans="1:11" ht="14.25" x14ac:dyDescent="0.2">
      <c r="A8" s="352"/>
      <c r="B8" s="355"/>
      <c r="C8" s="59" t="s">
        <v>85</v>
      </c>
      <c r="D8" s="59" t="s">
        <v>86</v>
      </c>
      <c r="E8" s="59" t="s">
        <v>85</v>
      </c>
      <c r="F8" s="59" t="s">
        <v>86</v>
      </c>
      <c r="G8" s="59" t="s">
        <v>85</v>
      </c>
      <c r="H8" s="59" t="s">
        <v>86</v>
      </c>
      <c r="I8" s="59" t="s">
        <v>85</v>
      </c>
      <c r="J8" s="59" t="s">
        <v>86</v>
      </c>
      <c r="K8" s="127" t="s">
        <v>86</v>
      </c>
    </row>
    <row r="9" spans="1:11" x14ac:dyDescent="0.2">
      <c r="A9" s="128" t="str">
        <f>DESCRIÇÃO!A8</f>
        <v>1.0</v>
      </c>
      <c r="B9" s="58" t="str">
        <f>DESCRIÇÃO!B8</f>
        <v>SERVIÇOS PRELIMINARES</v>
      </c>
      <c r="C9" s="60" t="e">
        <f>DESCRIÇÃO!F8</f>
        <v>#REF!</v>
      </c>
      <c r="D9" s="61" t="e">
        <f>(C9/$C$13)*100</f>
        <v>#REF!</v>
      </c>
      <c r="E9" s="60" t="e">
        <f>C9*(F9/100)</f>
        <v>#REF!</v>
      </c>
      <c r="F9" s="59">
        <v>100</v>
      </c>
      <c r="G9" s="60" t="e">
        <f>C9*(H9/100)</f>
        <v>#REF!</v>
      </c>
      <c r="H9" s="59">
        <v>0</v>
      </c>
      <c r="I9" s="60" t="e">
        <f>C9*(J9/100)</f>
        <v>#REF!</v>
      </c>
      <c r="J9" s="59">
        <v>0</v>
      </c>
      <c r="K9" s="127">
        <f>F9+H9+J9</f>
        <v>100</v>
      </c>
    </row>
    <row r="10" spans="1:11" x14ac:dyDescent="0.2">
      <c r="A10" s="128" t="str">
        <f>DESCRIÇÃO!A9</f>
        <v>2.0</v>
      </c>
      <c r="B10" s="62" t="str">
        <f>DESCRIÇÃO!B9</f>
        <v>MOVIMENTAÇÃO DE TERRA</v>
      </c>
      <c r="C10" s="60">
        <f>DESCRIÇÃO!F9</f>
        <v>111628.34357606295</v>
      </c>
      <c r="D10" s="61" t="e">
        <f>(C10/$C$13)*100</f>
        <v>#REF!</v>
      </c>
      <c r="E10" s="60">
        <f>C10*(F10/100)</f>
        <v>0</v>
      </c>
      <c r="F10" s="59">
        <v>0</v>
      </c>
      <c r="G10" s="60">
        <f>C10*(H10/100)</f>
        <v>111628.34357606295</v>
      </c>
      <c r="H10" s="59">
        <v>100</v>
      </c>
      <c r="I10" s="60">
        <f>C10*(J10/100)</f>
        <v>0</v>
      </c>
      <c r="J10" s="59">
        <v>0</v>
      </c>
      <c r="K10" s="127">
        <f>F10+H10+J10</f>
        <v>100</v>
      </c>
    </row>
    <row r="11" spans="1:11" x14ac:dyDescent="0.2">
      <c r="A11" s="128" t="str">
        <f>DESCRIÇÃO!A10</f>
        <v>3.0</v>
      </c>
      <c r="B11" s="58" t="str">
        <f>DESCRIÇÃO!B10</f>
        <v>REDE DE DRENAGEM</v>
      </c>
      <c r="C11" s="60" t="e">
        <f>DESCRIÇÃO!F10</f>
        <v>#REF!</v>
      </c>
      <c r="D11" s="61" t="e">
        <f>(C11/$C$13)*100</f>
        <v>#REF!</v>
      </c>
      <c r="E11" s="60" t="e">
        <f>C11*(F11/100)</f>
        <v>#REF!</v>
      </c>
      <c r="F11" s="59">
        <v>0</v>
      </c>
      <c r="G11" s="60" t="e">
        <f>C11*(H11/100)</f>
        <v>#REF!</v>
      </c>
      <c r="H11" s="59">
        <v>100</v>
      </c>
      <c r="I11" s="60" t="e">
        <f>C11*(J11/100)</f>
        <v>#REF!</v>
      </c>
      <c r="J11" s="59">
        <v>0</v>
      </c>
      <c r="K11" s="127">
        <f>F11+H11+J11</f>
        <v>100</v>
      </c>
    </row>
    <row r="12" spans="1:11" ht="15.75" thickBot="1" x14ac:dyDescent="0.25">
      <c r="A12" s="128" t="str">
        <f>DESCRIÇÃO!A11</f>
        <v>4.0</v>
      </c>
      <c r="B12" s="58" t="str">
        <f>DESCRIÇÃO!B11</f>
        <v>TRANSPORTE</v>
      </c>
      <c r="C12" s="60">
        <f>DESCRIÇÃO!F11</f>
        <v>8585.1133804800011</v>
      </c>
      <c r="D12" s="61" t="e">
        <f>(C12/$C$13)*100</f>
        <v>#REF!</v>
      </c>
      <c r="E12" s="60">
        <f>C12*(F12/100)</f>
        <v>0</v>
      </c>
      <c r="F12" s="59">
        <v>0</v>
      </c>
      <c r="G12" s="60">
        <f>C12*(H12/100)</f>
        <v>0</v>
      </c>
      <c r="H12" s="59">
        <v>0</v>
      </c>
      <c r="I12" s="60">
        <f>C12*(J12/100)</f>
        <v>8585.1133804800011</v>
      </c>
      <c r="J12" s="59">
        <v>100</v>
      </c>
      <c r="K12" s="127">
        <f>F12+H12+J12</f>
        <v>100</v>
      </c>
    </row>
    <row r="13" spans="1:11" ht="15.75" thickBot="1" x14ac:dyDescent="0.25">
      <c r="A13" s="129"/>
      <c r="B13" s="63" t="s">
        <v>87</v>
      </c>
      <c r="C13" s="64" t="e">
        <f>SUM(C9:C12)</f>
        <v>#REF!</v>
      </c>
      <c r="D13" s="65" t="e">
        <f>SUM(D9:D12)</f>
        <v>#REF!</v>
      </c>
      <c r="E13" s="66" t="e">
        <f>SUM(E9:E12)</f>
        <v>#REF!</v>
      </c>
      <c r="F13" s="130" t="e">
        <f>(E13/C13)*100</f>
        <v>#REF!</v>
      </c>
      <c r="G13" s="67" t="e">
        <f>SUM(G9:G12)</f>
        <v>#REF!</v>
      </c>
      <c r="H13" s="130" t="e">
        <f>(G13/C13)*100</f>
        <v>#REF!</v>
      </c>
      <c r="I13" s="67" t="e">
        <f>SUM(I9:I12)</f>
        <v>#REF!</v>
      </c>
      <c r="J13" s="130" t="e">
        <f>(I13/C13)*100</f>
        <v>#REF!</v>
      </c>
      <c r="K13" s="131" t="e">
        <f>H13+F13+J13</f>
        <v>#REF!</v>
      </c>
    </row>
    <row r="14" spans="1:11" ht="15.75" customHeight="1" thickBot="1" x14ac:dyDescent="0.3">
      <c r="A14" s="132"/>
      <c r="B14" s="68" t="s">
        <v>88</v>
      </c>
      <c r="C14" s="69"/>
      <c r="D14" s="70"/>
      <c r="E14" s="71" t="e">
        <f>SUM(E9:E13)/2</f>
        <v>#REF!</v>
      </c>
      <c r="F14" s="72" t="e">
        <f>F13</f>
        <v>#REF!</v>
      </c>
      <c r="G14" s="73" t="e">
        <f>E13+G13</f>
        <v>#REF!</v>
      </c>
      <c r="H14" s="73" t="e">
        <f>H13+F14</f>
        <v>#REF!</v>
      </c>
      <c r="I14" s="73" t="e">
        <f>G14+I13</f>
        <v>#REF!</v>
      </c>
      <c r="J14" s="73" t="e">
        <f>J13+H14</f>
        <v>#REF!</v>
      </c>
      <c r="K14" s="133"/>
    </row>
    <row r="15" spans="1:11" ht="15.75" customHeight="1" x14ac:dyDescent="0.2">
      <c r="A15" s="288" t="s">
        <v>137</v>
      </c>
      <c r="B15" s="313"/>
      <c r="C15" s="313"/>
      <c r="D15" s="288" t="s">
        <v>138</v>
      </c>
      <c r="E15" s="313"/>
      <c r="F15" s="289"/>
      <c r="G15" s="364" t="s">
        <v>142</v>
      </c>
      <c r="H15" s="365"/>
      <c r="I15" s="365"/>
      <c r="J15" s="365"/>
      <c r="K15" s="366"/>
    </row>
    <row r="16" spans="1:11" ht="15.75" customHeight="1" thickBot="1" x14ac:dyDescent="0.25">
      <c r="A16" s="290"/>
      <c r="B16" s="314"/>
      <c r="C16" s="314"/>
      <c r="D16" s="290"/>
      <c r="E16" s="314"/>
      <c r="F16" s="291"/>
      <c r="G16" s="367"/>
      <c r="H16" s="368"/>
      <c r="I16" s="368"/>
      <c r="J16" s="368"/>
      <c r="K16" s="369"/>
    </row>
    <row r="17" spans="1:11" ht="15.75" customHeight="1" x14ac:dyDescent="0.2">
      <c r="A17" s="321"/>
      <c r="B17" s="322"/>
      <c r="C17" s="322"/>
      <c r="D17" s="321"/>
      <c r="E17" s="322"/>
      <c r="F17" s="323"/>
      <c r="G17" s="370"/>
      <c r="H17" s="371"/>
      <c r="I17" s="371"/>
      <c r="J17" s="371"/>
      <c r="K17" s="372"/>
    </row>
    <row r="18" spans="1:11" ht="15.75" customHeight="1" x14ac:dyDescent="0.2">
      <c r="A18" s="264"/>
      <c r="B18" s="265"/>
      <c r="C18" s="265"/>
      <c r="D18" s="264"/>
      <c r="E18" s="265"/>
      <c r="F18" s="324"/>
      <c r="G18" s="373"/>
      <c r="H18" s="374"/>
      <c r="I18" s="374"/>
      <c r="J18" s="374"/>
      <c r="K18" s="375"/>
    </row>
    <row r="19" spans="1:11" ht="15.75" customHeight="1" x14ac:dyDescent="0.2">
      <c r="A19" s="318" t="s">
        <v>13</v>
      </c>
      <c r="B19" s="319"/>
      <c r="C19" s="319"/>
      <c r="D19" s="376" t="s">
        <v>140</v>
      </c>
      <c r="E19" s="377"/>
      <c r="F19" s="378"/>
      <c r="G19" s="379"/>
      <c r="H19" s="380"/>
      <c r="I19" s="380"/>
      <c r="J19" s="380"/>
      <c r="K19" s="381"/>
    </row>
    <row r="20" spans="1:11" ht="15.75" customHeight="1" thickBot="1" x14ac:dyDescent="0.25">
      <c r="A20" s="300" t="s">
        <v>14</v>
      </c>
      <c r="B20" s="301"/>
      <c r="C20" s="301"/>
      <c r="D20" s="290" t="s">
        <v>139</v>
      </c>
      <c r="E20" s="314"/>
      <c r="F20" s="291"/>
      <c r="G20" s="382"/>
      <c r="H20" s="383"/>
      <c r="I20" s="383"/>
      <c r="J20" s="383"/>
      <c r="K20" s="384"/>
    </row>
    <row r="21" spans="1:11" ht="15.75" customHeight="1" x14ac:dyDescent="0.2">
      <c r="E21" s="12"/>
    </row>
    <row r="22" spans="1:11" ht="15.75" customHeight="1" x14ac:dyDescent="0.2"/>
    <row r="23" spans="1:11" ht="15.75" customHeight="1" x14ac:dyDescent="0.2"/>
    <row r="24" spans="1:11" ht="15.75" customHeight="1" x14ac:dyDescent="0.2"/>
    <row r="25" spans="1:11" ht="15.75" customHeight="1" x14ac:dyDescent="0.2"/>
    <row r="26" spans="1:11" ht="15.75" customHeight="1" x14ac:dyDescent="0.2"/>
    <row r="27" spans="1:11" ht="15.75" customHeight="1" x14ac:dyDescent="0.2"/>
    <row r="28" spans="1:11" ht="15.75" customHeight="1" x14ac:dyDescent="0.2"/>
    <row r="29" spans="1:11" ht="15.75" customHeight="1" x14ac:dyDescent="0.2"/>
    <row r="30" spans="1:11" ht="15.75" customHeight="1" x14ac:dyDescent="0.2"/>
    <row r="31" spans="1:11" ht="15.75" customHeight="1" x14ac:dyDescent="0.2"/>
    <row r="32" spans="1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</sheetData>
  <mergeCells count="25">
    <mergeCell ref="A19:C19"/>
    <mergeCell ref="D19:F19"/>
    <mergeCell ref="G19:K19"/>
    <mergeCell ref="A20:C20"/>
    <mergeCell ref="D20:F20"/>
    <mergeCell ref="G20:K20"/>
    <mergeCell ref="A15:C16"/>
    <mergeCell ref="D15:F16"/>
    <mergeCell ref="G15:K16"/>
    <mergeCell ref="A17:C18"/>
    <mergeCell ref="D17:F18"/>
    <mergeCell ref="G17:K17"/>
    <mergeCell ref="G18:K18"/>
    <mergeCell ref="B1:K1"/>
    <mergeCell ref="B2:K2"/>
    <mergeCell ref="B3:K3"/>
    <mergeCell ref="B4:K4"/>
    <mergeCell ref="A6:A8"/>
    <mergeCell ref="B6:B8"/>
    <mergeCell ref="C6:D7"/>
    <mergeCell ref="A5:K5"/>
    <mergeCell ref="E6:K6"/>
    <mergeCell ref="E7:F7"/>
    <mergeCell ref="G7:H7"/>
    <mergeCell ref="I7:J7"/>
  </mergeCells>
  <pageMargins left="0.511811024" right="0.511811024" top="1.0237499999999999" bottom="0.92531249999999998" header="0" footer="0"/>
  <pageSetup paperSize="9" scale="74" fitToHeight="0" orientation="landscape" r:id="rId1"/>
  <headerFooter>
    <oddFooter>&amp;CRua Rui Barbosa, 310 - Centro - Araputanga-MT – Cel: (65) 99613-9294 E-mail: carolina.o.almeida@hotmail.com / escalaprojeta@gmail.com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opLeftCell="A49" zoomScaleNormal="100" zoomScaleSheetLayoutView="100" zoomScalePageLayoutView="70" workbookViewId="0">
      <selection activeCell="D64" sqref="D64"/>
    </sheetView>
  </sheetViews>
  <sheetFormatPr defaultRowHeight="14.25" x14ac:dyDescent="0.2"/>
  <cols>
    <col min="1" max="1" width="15.5" customWidth="1"/>
    <col min="2" max="2" width="20.625" customWidth="1"/>
    <col min="3" max="3" width="34.75" customWidth="1"/>
    <col min="4" max="4" width="18.25" customWidth="1"/>
    <col min="5" max="5" width="14.5" customWidth="1"/>
    <col min="6" max="6" width="13.125" customWidth="1"/>
  </cols>
  <sheetData>
    <row r="1" spans="1:6" x14ac:dyDescent="0.2">
      <c r="A1" s="203" t="str">
        <f>'[1]PLANILHA NÃO DESONERADO'!A1</f>
        <v>Obra:</v>
      </c>
      <c r="B1" s="389" t="str">
        <f>'PLANILHA ORÇAMENTÁRIA'!B1:F1</f>
        <v>Construção de muros e calçadas em casas populares</v>
      </c>
      <c r="C1" s="390"/>
      <c r="D1" s="390"/>
      <c r="E1" s="390"/>
      <c r="F1" s="390"/>
    </row>
    <row r="2" spans="1:6" x14ac:dyDescent="0.2">
      <c r="A2" s="203" t="str">
        <f>'[1]PLANILHA NÃO DESONERADO'!A2</f>
        <v>Proprietário:</v>
      </c>
      <c r="B2" s="389" t="str">
        <f>'PLANILHA ORÇAMENTÁRIA'!B2:F2</f>
        <v>Prefeitura Municipal de Araputanga</v>
      </c>
      <c r="C2" s="390"/>
      <c r="D2" s="390"/>
      <c r="E2" s="390"/>
      <c r="F2" s="390"/>
    </row>
    <row r="3" spans="1:6" x14ac:dyDescent="0.2">
      <c r="A3" s="203" t="str">
        <f>'[1]PLANILHA NÃO DESONERADO'!A3</f>
        <v>Local:</v>
      </c>
      <c r="B3" s="389" t="str">
        <f>'PLANILHA ORÇAMENTÁRIA'!B3:F3</f>
        <v>Quadra 14 e 04, Loteamento carvalho e Quadra 26 Loteamento Vilage, Araputanga-MT.</v>
      </c>
      <c r="C3" s="390"/>
      <c r="D3" s="390"/>
      <c r="E3" s="390"/>
      <c r="F3" s="390"/>
    </row>
    <row r="4" spans="1:6" x14ac:dyDescent="0.2">
      <c r="A4" s="203" t="str">
        <f>'[1]PLANILHA NÃO DESONERADO'!A4</f>
        <v>Data:</v>
      </c>
      <c r="B4" s="391">
        <f>'PLANILHA ORÇAMENTÁRIA'!B4:F4</f>
        <v>45905</v>
      </c>
      <c r="C4" s="390"/>
      <c r="D4" s="390"/>
      <c r="E4" s="390"/>
      <c r="F4" s="390"/>
    </row>
    <row r="5" spans="1:6" x14ac:dyDescent="0.2">
      <c r="A5" s="392"/>
      <c r="B5" s="392"/>
      <c r="C5" s="392"/>
      <c r="D5" s="392"/>
      <c r="E5" s="392"/>
      <c r="F5" s="392"/>
    </row>
    <row r="6" spans="1:6" ht="15" x14ac:dyDescent="0.2">
      <c r="A6" s="400" t="s">
        <v>311</v>
      </c>
      <c r="B6" s="400"/>
      <c r="C6" s="400"/>
      <c r="D6" s="400"/>
      <c r="E6" s="400"/>
      <c r="F6" s="400"/>
    </row>
    <row r="7" spans="1:6" ht="27.75" customHeight="1" x14ac:dyDescent="0.2">
      <c r="A7" s="392"/>
      <c r="B7" s="392"/>
      <c r="C7" s="392"/>
      <c r="D7" s="392"/>
      <c r="E7" s="392"/>
      <c r="F7" s="392"/>
    </row>
    <row r="8" spans="1:6" ht="45" customHeight="1" x14ac:dyDescent="0.2">
      <c r="A8" s="205" t="str">
        <f>'PLANILHA ORÇAMENTÁRIA'!B28</f>
        <v>3.14</v>
      </c>
      <c r="B8" s="397" t="str">
        <f>'PLANILHA ORÇAMENTÁRIA'!D28</f>
        <v>ALVENARIA DE VEDAÇÃO DE BLOCOS CERÂMICOS FURADOS NA VERTICAL DE 11,5X19X39 CM (ESPESSURA 11,5CM) E ARGAMASSA DE ASSENTAMENTO COM PREPARO EM BETONEIRA. AF_12/2021</v>
      </c>
      <c r="C8" s="398"/>
      <c r="D8" s="398"/>
      <c r="E8" s="398"/>
      <c r="F8" s="399"/>
    </row>
    <row r="9" spans="1:6" ht="21" customHeight="1" x14ac:dyDescent="0.2">
      <c r="A9" s="185" t="s">
        <v>312</v>
      </c>
      <c r="B9" s="185" t="s">
        <v>6</v>
      </c>
      <c r="C9" s="185" t="s">
        <v>313</v>
      </c>
      <c r="D9" s="186" t="s">
        <v>314</v>
      </c>
      <c r="E9" s="393"/>
      <c r="F9" s="394"/>
    </row>
    <row r="10" spans="1:6" ht="51" customHeight="1" x14ac:dyDescent="0.2">
      <c r="A10" s="197" t="s">
        <v>356</v>
      </c>
      <c r="B10" s="201" t="s">
        <v>375</v>
      </c>
      <c r="C10" s="197" t="s">
        <v>404</v>
      </c>
      <c r="D10" s="186">
        <f>(((48*7+63*3)+(55*2+20*5+20*7+64*2)+(60*4+10*15+60*4+20*14))-45*2.8)*2</f>
        <v>3574</v>
      </c>
      <c r="E10" s="395"/>
      <c r="F10" s="396"/>
    </row>
    <row r="11" spans="1:6" ht="30" customHeight="1" x14ac:dyDescent="0.2">
      <c r="A11" s="204" t="s">
        <v>379</v>
      </c>
      <c r="B11" s="401" t="s">
        <v>380</v>
      </c>
      <c r="C11" s="402"/>
      <c r="D11" s="402"/>
      <c r="E11" s="402"/>
      <c r="F11" s="403"/>
    </row>
    <row r="12" spans="1:6" ht="33" customHeight="1" x14ac:dyDescent="0.2">
      <c r="A12" s="185" t="s">
        <v>312</v>
      </c>
      <c r="B12" s="185" t="s">
        <v>6</v>
      </c>
      <c r="C12" s="185" t="s">
        <v>313</v>
      </c>
      <c r="D12" s="186" t="s">
        <v>314</v>
      </c>
      <c r="E12" s="393"/>
      <c r="F12" s="394"/>
    </row>
    <row r="13" spans="1:6" ht="74.099999999999994" customHeight="1" x14ac:dyDescent="0.2">
      <c r="A13" s="197" t="s">
        <v>356</v>
      </c>
      <c r="B13" s="201" t="s">
        <v>375</v>
      </c>
      <c r="C13" s="196">
        <f>D10*2</f>
        <v>7148</v>
      </c>
      <c r="D13" s="186">
        <f>D10*2</f>
        <v>7148</v>
      </c>
      <c r="E13" s="395"/>
      <c r="F13" s="396"/>
    </row>
    <row r="14" spans="1:6" ht="51.4" customHeight="1" x14ac:dyDescent="0.2">
      <c r="A14" s="204" t="str">
        <f>'PLANILHA ORÇAMENTÁRIA'!B35</f>
        <v>5.1</v>
      </c>
      <c r="B14" s="397" t="str">
        <f>'PLANILHA ORÇAMENTÁRIA'!D35</f>
        <v>EXECUÇÃO DE PASSEIO (CALÇADA) OU PISO DE CONCRETO COM CONCRETO MOLDADO IN LOCO, FEITO EM OBRA, ACABAMENTO CONVENCIONAL, NÃO ARMADO. AF_08/2022</v>
      </c>
      <c r="C14" s="398"/>
      <c r="D14" s="398"/>
      <c r="E14" s="398"/>
      <c r="F14" s="399"/>
    </row>
    <row r="15" spans="1:6" ht="33" customHeight="1" x14ac:dyDescent="0.2">
      <c r="A15" s="185" t="s">
        <v>312</v>
      </c>
      <c r="B15" s="185" t="s">
        <v>6</v>
      </c>
      <c r="C15" s="185" t="s">
        <v>367</v>
      </c>
      <c r="D15" s="186" t="s">
        <v>314</v>
      </c>
      <c r="E15" s="393"/>
      <c r="F15" s="394"/>
    </row>
    <row r="16" spans="1:6" ht="74.099999999999994" customHeight="1" x14ac:dyDescent="0.2">
      <c r="A16" s="197" t="s">
        <v>356</v>
      </c>
      <c r="B16" s="201" t="s">
        <v>374</v>
      </c>
      <c r="C16" s="196" t="s">
        <v>408</v>
      </c>
      <c r="D16" s="186">
        <f>((90.31+2.51+61+2.51+90.31+2.51+61+2.51)+(89.5+2.36+65.1+2.36+20.6)+(49.2+64.2+49.2+64+2.36*4))*2*0.06</f>
        <v>87.434399999999982</v>
      </c>
      <c r="E16" s="395"/>
      <c r="F16" s="396"/>
    </row>
    <row r="17" spans="1:6" ht="51.4" customHeight="1" x14ac:dyDescent="0.2">
      <c r="A17" s="204" t="str">
        <f>'PLANILHA ORÇAMENTÁRIA'!B14</f>
        <v>3.1</v>
      </c>
      <c r="B17" s="397" t="str">
        <f>'PLANILHA ORÇAMENTÁRIA'!D14</f>
        <v>ESCAVAÇÃO MANUAL PARA BLOCO DE COROAMENTO OU SAPATA (INCLUINDO ESCAVAÇÃO PARA COLOCAÇÃO DE FÔRMAS).AF_06/2017</v>
      </c>
      <c r="C17" s="398"/>
      <c r="D17" s="398"/>
      <c r="E17" s="398"/>
      <c r="F17" s="399"/>
    </row>
    <row r="18" spans="1:6" ht="33" customHeight="1" x14ac:dyDescent="0.2">
      <c r="A18" s="185" t="s">
        <v>312</v>
      </c>
      <c r="B18" s="185" t="s">
        <v>6</v>
      </c>
      <c r="C18" s="185" t="s">
        <v>367</v>
      </c>
      <c r="D18" s="186" t="s">
        <v>314</v>
      </c>
      <c r="E18" s="393"/>
      <c r="F18" s="394"/>
    </row>
    <row r="19" spans="1:6" ht="74.099999999999994" customHeight="1" x14ac:dyDescent="0.2">
      <c r="A19" s="197" t="s">
        <v>356</v>
      </c>
      <c r="B19" s="201" t="s">
        <v>375</v>
      </c>
      <c r="C19" s="196" t="s">
        <v>416</v>
      </c>
      <c r="D19" s="186">
        <f>((((((48*7+63*3)+(55*2+20*5+20*7+64*2)+(60*4+10*15+60*4+20*14))-45*2.8)/3)*0.5*0.5)*0.25)</f>
        <v>37.229166666666664</v>
      </c>
      <c r="E19" s="395"/>
      <c r="F19" s="396"/>
    </row>
    <row r="20" spans="1:6" ht="51.4" customHeight="1" x14ac:dyDescent="0.2">
      <c r="A20" s="204" t="str">
        <f>'PLANILHA ORÇAMENTÁRIA'!B15</f>
        <v>3.2</v>
      </c>
      <c r="B20" s="397" t="str">
        <f>'PLANILHA ORÇAMENTÁRIA'!D15</f>
        <v>ESCAVAÇÃO MANUAL DE VALA PARA VIGA BALDRAME (INCLUINDO ESCAVAÇÃO PARA COLOCAÇÃO DE FÔRMAS). AF_06/2017</v>
      </c>
      <c r="C20" s="398"/>
      <c r="D20" s="398"/>
      <c r="E20" s="398"/>
      <c r="F20" s="399"/>
    </row>
    <row r="21" spans="1:6" ht="33" customHeight="1" x14ac:dyDescent="0.2">
      <c r="A21" s="185" t="s">
        <v>312</v>
      </c>
      <c r="B21" s="185" t="s">
        <v>6</v>
      </c>
      <c r="C21" s="185" t="s">
        <v>367</v>
      </c>
      <c r="D21" s="186" t="s">
        <v>314</v>
      </c>
      <c r="E21" s="393"/>
      <c r="F21" s="394"/>
    </row>
    <row r="22" spans="1:6" ht="74.099999999999994" customHeight="1" x14ac:dyDescent="0.2">
      <c r="A22" s="197" t="s">
        <v>356</v>
      </c>
      <c r="B22" s="201" t="s">
        <v>375</v>
      </c>
      <c r="C22" s="196" t="s">
        <v>410</v>
      </c>
      <c r="D22" s="186">
        <f>(((48*7+63*3)+(55*2+20*5+20*7+64*2)+(60*4+10*15+60*4+20*14))-45*2.8)*0.17*0.35</f>
        <v>106.3265</v>
      </c>
      <c r="E22" s="395"/>
      <c r="F22" s="396"/>
    </row>
    <row r="23" spans="1:6" ht="51.4" customHeight="1" x14ac:dyDescent="0.2">
      <c r="A23" s="204" t="str">
        <f>'PLANILHA ORÇAMENTÁRIA'!B16</f>
        <v>3.3</v>
      </c>
      <c r="B23" s="397" t="str">
        <f>'PLANILHA ORÇAMENTÁRIA'!D16</f>
        <v>ARMAÇÃO DE BLOCO, VIGA BALDRAME E SAPATA UTILIZANDO AÇO CA-60 DE 5 MM - MONTAGEM. AF_06/2017</v>
      </c>
      <c r="C23" s="398"/>
      <c r="D23" s="398"/>
      <c r="E23" s="398"/>
      <c r="F23" s="399"/>
    </row>
    <row r="24" spans="1:6" ht="33" customHeight="1" x14ac:dyDescent="0.2">
      <c r="A24" s="185" t="s">
        <v>312</v>
      </c>
      <c r="B24" s="185" t="s">
        <v>6</v>
      </c>
      <c r="C24" s="185" t="s">
        <v>280</v>
      </c>
      <c r="D24" s="186" t="s">
        <v>419</v>
      </c>
      <c r="E24" s="393"/>
      <c r="F24" s="394"/>
    </row>
    <row r="25" spans="1:6" ht="74.099999999999994" customHeight="1" x14ac:dyDescent="0.2">
      <c r="A25" s="197" t="s">
        <v>356</v>
      </c>
      <c r="B25" s="201" t="s">
        <v>375</v>
      </c>
      <c r="C25" s="196" t="s">
        <v>412</v>
      </c>
      <c r="D25" s="186">
        <f>(((((48*7+63*3)+(55*2+20*5+20*7+64*2)+(60*4+10*15+60*4+20*14))-45*2.8)/0.25)*0.75)*0.154</f>
        <v>825.59399999999994</v>
      </c>
      <c r="E25" s="395"/>
      <c r="F25" s="396"/>
    </row>
    <row r="26" spans="1:6" ht="51.4" customHeight="1" x14ac:dyDescent="0.2">
      <c r="A26" s="204" t="str">
        <f>'PLANILHA ORÇAMENTÁRIA'!B17</f>
        <v>3.4</v>
      </c>
      <c r="B26" s="397" t="str">
        <f>'PLANILHA ORÇAMENTÁRIA'!D17</f>
        <v>ARMAÇÃO DE BLOCO, VIGA BALDRAME OU SAPATA UTILIZANDO AÇO CA-50 DE 8 MM - MONTAGEM. AF_06/2017</v>
      </c>
      <c r="C26" s="398"/>
      <c r="D26" s="398"/>
      <c r="E26" s="398"/>
      <c r="F26" s="399"/>
    </row>
    <row r="27" spans="1:6" ht="33" customHeight="1" x14ac:dyDescent="0.2">
      <c r="A27" s="185" t="s">
        <v>312</v>
      </c>
      <c r="B27" s="185" t="s">
        <v>6</v>
      </c>
      <c r="C27" s="185" t="s">
        <v>280</v>
      </c>
      <c r="D27" s="186" t="s">
        <v>419</v>
      </c>
      <c r="E27" s="393"/>
      <c r="F27" s="394"/>
    </row>
    <row r="28" spans="1:6" ht="74.099999999999994" customHeight="1" x14ac:dyDescent="0.2">
      <c r="A28" s="197" t="s">
        <v>356</v>
      </c>
      <c r="B28" s="201" t="s">
        <v>375</v>
      </c>
      <c r="C28" s="196" t="s">
        <v>417</v>
      </c>
      <c r="D28" s="186">
        <f>((((48*7+63*3)+(55*2+20*5+20*7+64*2)+(60*4+10*15+60*4+20*14))-45*2.8)*4)*0.395</f>
        <v>2823.46</v>
      </c>
      <c r="E28" s="395"/>
      <c r="F28" s="396"/>
    </row>
    <row r="29" spans="1:6" ht="51.4" customHeight="1" x14ac:dyDescent="0.2">
      <c r="A29" s="204" t="str">
        <f>'PLANILHA ORÇAMENTÁRIA'!B18</f>
        <v>3.5</v>
      </c>
      <c r="B29" s="397" t="str">
        <f>'PLANILHA ORÇAMENTÁRIA'!D18</f>
        <v>CONCRETAGEM DE BLOCO DE COROAMENTO OU VIGA BALDRAME, FCK 30 MPA, COM USO DE JERICA - LANÇAMENTO, ADENSAMENTO E ACABAMENTO. AF_01/2024</v>
      </c>
      <c r="C29" s="398"/>
      <c r="D29" s="398"/>
      <c r="E29" s="398"/>
      <c r="F29" s="399"/>
    </row>
    <row r="30" spans="1:6" ht="33" customHeight="1" x14ac:dyDescent="0.2">
      <c r="A30" s="185" t="s">
        <v>312</v>
      </c>
      <c r="B30" s="185" t="s">
        <v>6</v>
      </c>
      <c r="C30" s="185" t="s">
        <v>367</v>
      </c>
      <c r="D30" s="186" t="s">
        <v>420</v>
      </c>
      <c r="E30" s="393"/>
      <c r="F30" s="394"/>
    </row>
    <row r="31" spans="1:6" ht="74.099999999999994" customHeight="1" x14ac:dyDescent="0.2">
      <c r="A31" s="197" t="s">
        <v>356</v>
      </c>
      <c r="B31" s="201" t="s">
        <v>375</v>
      </c>
      <c r="C31" s="196" t="s">
        <v>411</v>
      </c>
      <c r="D31" s="186">
        <f>(((48*7+63*3)+(55*2+20*5+20*7+64*2)+(60*4+10*15+60*4+20*14))-45*2.8)*0.14*0.3</f>
        <v>75.054000000000002</v>
      </c>
      <c r="E31" s="395"/>
      <c r="F31" s="396"/>
    </row>
    <row r="32" spans="1:6" ht="51.4" customHeight="1" x14ac:dyDescent="0.2">
      <c r="A32" s="204" t="str">
        <f>'PLANILHA ORÇAMENTÁRIA'!B20</f>
        <v>3.7</v>
      </c>
      <c r="B32" s="397" t="str">
        <f>'PLANILHA ORÇAMENTÁRIA'!D20</f>
        <v>MONTAGEM E DESMONTAGEM DE FÔRMA DE PILARES RETANGULARES E ESTRUTURAS SIMILARES, PÉ-DIREITO SIMPLES, EM CHAPA DE MADEIRA COMPENSADA RESINADA, 4 UTILIZAÇÕES. AF_09/2020</v>
      </c>
      <c r="C32" s="398"/>
      <c r="D32" s="398"/>
      <c r="E32" s="398"/>
      <c r="F32" s="399"/>
    </row>
    <row r="33" spans="1:6" ht="33" customHeight="1" x14ac:dyDescent="0.2">
      <c r="A33" s="185" t="s">
        <v>312</v>
      </c>
      <c r="B33" s="185" t="s">
        <v>6</v>
      </c>
      <c r="C33" s="185" t="s">
        <v>367</v>
      </c>
      <c r="D33" s="186" t="s">
        <v>314</v>
      </c>
      <c r="E33" s="393"/>
      <c r="F33" s="394"/>
    </row>
    <row r="34" spans="1:6" ht="74.099999999999994" customHeight="1" x14ac:dyDescent="0.2">
      <c r="A34" s="197" t="s">
        <v>356</v>
      </c>
      <c r="B34" s="201" t="s">
        <v>375</v>
      </c>
      <c r="C34" s="196" t="s">
        <v>413</v>
      </c>
      <c r="D34" s="186">
        <f>((((((48*7+63*3)+(55*2+20*5+20*7+64*2)+(60*4+10*15+60*4+20*14))-45*2.8)/3)*0.25*2)/4)</f>
        <v>74.458333333333329</v>
      </c>
      <c r="E34" s="395"/>
      <c r="F34" s="396"/>
    </row>
    <row r="35" spans="1:6" ht="51.4" customHeight="1" x14ac:dyDescent="0.2">
      <c r="A35" s="204" t="str">
        <f>'PLANILHA ORÇAMENTÁRIA'!B21</f>
        <v>3.8</v>
      </c>
      <c r="B35" s="397" t="str">
        <f>'PLANILHA ORÇAMENTÁRIA'!D21</f>
        <v>MONTAGEM E DESMONTAGEM DE FÔRMA DE VIGA, ESCORAMENTO COM PONTALETE DE MADEIRA, PÉ-DIREITO SIMPLES, EM MADEIRA SERRADA, 4 UTILIZAÇÕES. AF_09/2020</v>
      </c>
      <c r="C35" s="398"/>
      <c r="D35" s="398"/>
      <c r="E35" s="398"/>
      <c r="F35" s="399"/>
    </row>
    <row r="36" spans="1:6" ht="33" customHeight="1" x14ac:dyDescent="0.2">
      <c r="A36" s="185" t="s">
        <v>312</v>
      </c>
      <c r="B36" s="185" t="s">
        <v>6</v>
      </c>
      <c r="C36" s="185" t="s">
        <v>280</v>
      </c>
      <c r="D36" s="186" t="s">
        <v>419</v>
      </c>
      <c r="E36" s="393"/>
      <c r="F36" s="394"/>
    </row>
    <row r="37" spans="1:6" ht="74.099999999999994" customHeight="1" x14ac:dyDescent="0.2">
      <c r="A37" s="197" t="s">
        <v>356</v>
      </c>
      <c r="B37" s="201" t="s">
        <v>375</v>
      </c>
      <c r="C37" s="196" t="s">
        <v>421</v>
      </c>
      <c r="D37" s="186">
        <f>((((((48*7+63*3)+(55*2+20*5+20*7+64*2)+(60*4+10*15+60*4+20*14))-45*2.8))*2*0.3)/4)</f>
        <v>268.05</v>
      </c>
      <c r="E37" s="395"/>
      <c r="F37" s="396"/>
    </row>
    <row r="38" spans="1:6" ht="51.4" customHeight="1" x14ac:dyDescent="0.2">
      <c r="A38" s="204" t="str">
        <f>'PLANILHA ORÇAMENTÁRIA'!B22</f>
        <v>3.9</v>
      </c>
      <c r="B38" s="404" t="str">
        <f>'PLANILHA ORÇAMENTÁRIA'!D22</f>
        <v>ARMAÇÃO DE PILAR OU VIGA DE ESTRUTURA CONVENCIONAL DE CONCRETO ARMADO UTILIZANDO AÇO CA-60 DE 5,0 MM - MONTAGEM. AF_06/2022</v>
      </c>
      <c r="C38" s="398"/>
      <c r="D38" s="398"/>
      <c r="E38" s="398"/>
      <c r="F38" s="399"/>
    </row>
    <row r="39" spans="1:6" ht="33" customHeight="1" x14ac:dyDescent="0.2">
      <c r="A39" s="185" t="s">
        <v>312</v>
      </c>
      <c r="B39" s="185" t="s">
        <v>6</v>
      </c>
      <c r="C39" s="185" t="s">
        <v>280</v>
      </c>
      <c r="D39" s="186" t="s">
        <v>419</v>
      </c>
      <c r="E39" s="393"/>
      <c r="F39" s="394"/>
    </row>
    <row r="40" spans="1:6" ht="74.099999999999994" customHeight="1" x14ac:dyDescent="0.2">
      <c r="A40" s="197" t="s">
        <v>356</v>
      </c>
      <c r="B40" s="201" t="s">
        <v>375</v>
      </c>
      <c r="C40" s="196" t="s">
        <v>424</v>
      </c>
      <c r="D40" s="186">
        <f>((((((48*7+63*3)+(55*2+20*5+20*7+64*2)+(60*4+10*15+60*4+20*14))-45*2.8)/3/0.3)*0.75)*0.154)+(((((((48*7+63*3)+(55*2+20*5+20*7+64*2)+(60*4+10*15+60*4+20*14))-45*2.8))/0.3)*0.75)*0.154)</f>
        <v>917.3266666666666</v>
      </c>
      <c r="E40" s="395"/>
      <c r="F40" s="396"/>
    </row>
    <row r="41" spans="1:6" ht="51.4" customHeight="1" x14ac:dyDescent="0.2">
      <c r="A41" s="204" t="str">
        <f>'PLANILHA ORÇAMENTÁRIA'!B23</f>
        <v>3.10</v>
      </c>
      <c r="B41" s="397" t="str">
        <f>'PLANILHA ORÇAMENTÁRIA'!D23</f>
        <v>ARMAÇÃO DE PILAR OU VIGA DE ESTRUTURA CONVENCIONAL DE CONCRETO ARMADO UTILIZANDO AÇO CA-50 DE 8,0 MM -MONTAGEM. AF_06/2022</v>
      </c>
      <c r="C41" s="398"/>
      <c r="D41" s="398"/>
      <c r="E41" s="398"/>
      <c r="F41" s="399"/>
    </row>
    <row r="42" spans="1:6" ht="33" customHeight="1" x14ac:dyDescent="0.2">
      <c r="A42" s="185" t="s">
        <v>312</v>
      </c>
      <c r="B42" s="185" t="s">
        <v>6</v>
      </c>
      <c r="C42" s="185" t="s">
        <v>280</v>
      </c>
      <c r="D42" s="186" t="s">
        <v>419</v>
      </c>
      <c r="E42" s="393"/>
      <c r="F42" s="394"/>
    </row>
    <row r="43" spans="1:6" ht="74.099999999999994" customHeight="1" x14ac:dyDescent="0.2">
      <c r="A43" s="197" t="s">
        <v>356</v>
      </c>
      <c r="B43" s="201" t="s">
        <v>375</v>
      </c>
      <c r="C43" s="196" t="s">
        <v>422</v>
      </c>
      <c r="D43" s="186">
        <f>((((((48*7+63*3)+(55*2+20*5+20*7+64*2)+(60*4+10*15+60*4+20*14))-45*2.8))*4)*0.395)</f>
        <v>2823.46</v>
      </c>
      <c r="E43" s="395"/>
      <c r="F43" s="396"/>
    </row>
    <row r="44" spans="1:6" ht="51.4" customHeight="1" x14ac:dyDescent="0.2">
      <c r="A44" s="204" t="str">
        <f>'PLANILHA ORÇAMENTÁRIA'!B24</f>
        <v>3.11</v>
      </c>
      <c r="B44" s="397" t="str">
        <f>'PLANILHA ORÇAMENTÁRIA'!D24</f>
        <v>ARMAÇÃO DE PILAR OU VIGA DE ESTRUTURA CONVENCIONAL DE CONCRETO ARMADO UTILIZANDO AÇO CA-50 DE 10,0 MM -MONTAGEM. AF_06/2022</v>
      </c>
      <c r="C44" s="398"/>
      <c r="D44" s="398"/>
      <c r="E44" s="398"/>
      <c r="F44" s="399"/>
    </row>
    <row r="45" spans="1:6" ht="33" customHeight="1" x14ac:dyDescent="0.2">
      <c r="A45" s="185" t="s">
        <v>312</v>
      </c>
      <c r="B45" s="185" t="s">
        <v>6</v>
      </c>
      <c r="C45" s="185" t="s">
        <v>280</v>
      </c>
      <c r="D45" s="186" t="s">
        <v>419</v>
      </c>
      <c r="E45" s="393"/>
      <c r="F45" s="394"/>
    </row>
    <row r="46" spans="1:6" ht="74.099999999999994" customHeight="1" x14ac:dyDescent="0.2">
      <c r="A46" s="197" t="s">
        <v>356</v>
      </c>
      <c r="B46" s="201" t="s">
        <v>375</v>
      </c>
      <c r="C46" s="196" t="s">
        <v>414</v>
      </c>
      <c r="D46" s="186">
        <f>((((((48*7+63*3)+(55*2+20*5+20*7+64*2)+(60*4+10*15+60*4+20*14))-45*2.8)/3)*4)*0.617)</f>
        <v>1470.1053333333332</v>
      </c>
      <c r="E46" s="395"/>
      <c r="F46" s="396"/>
    </row>
    <row r="47" spans="1:6" ht="51.4" customHeight="1" x14ac:dyDescent="0.2">
      <c r="A47" s="204" t="str">
        <f>'PLANILHA ORÇAMENTÁRIA'!B25</f>
        <v>3.12</v>
      </c>
      <c r="B47" s="397" t="str">
        <f>'PLANILHA ORÇAMENTÁRIA'!D25</f>
        <v>CONCRETAGEM DE PILARES, FCK = 25 MPA, COM USO DE BOMBA - LANÇAMENTO, ADENSAMENTO E ACABAMENTO. AF_02/2022</v>
      </c>
      <c r="C47" s="398"/>
      <c r="D47" s="398"/>
      <c r="E47" s="398"/>
      <c r="F47" s="399"/>
    </row>
    <row r="48" spans="1:6" ht="33" customHeight="1" x14ac:dyDescent="0.2">
      <c r="A48" s="185" t="s">
        <v>312</v>
      </c>
      <c r="B48" s="185" t="s">
        <v>6</v>
      </c>
      <c r="C48" s="185" t="s">
        <v>367</v>
      </c>
      <c r="D48" s="186" t="s">
        <v>314</v>
      </c>
      <c r="E48" s="393"/>
      <c r="F48" s="394"/>
    </row>
    <row r="49" spans="1:6" ht="74.099999999999994" customHeight="1" x14ac:dyDescent="0.2">
      <c r="A49" s="197" t="s">
        <v>356</v>
      </c>
      <c r="B49" s="201" t="s">
        <v>375</v>
      </c>
      <c r="C49" s="196" t="s">
        <v>415</v>
      </c>
      <c r="D49" s="186">
        <f>(((((48*7+63*3)+(55*2+20*5+20*7+64*2)+(60*4+10*15+60*4+20*14))-45*2.8)/3)*0.15*0.3)</f>
        <v>26.804999999999996</v>
      </c>
      <c r="E49" s="395"/>
      <c r="F49" s="396"/>
    </row>
    <row r="50" spans="1:6" ht="51.4" customHeight="1" x14ac:dyDescent="0.2">
      <c r="A50" s="204" t="str">
        <f>'PLANILHA ORÇAMENTÁRIA'!B26</f>
        <v>3.13</v>
      </c>
      <c r="B50" s="397" t="str">
        <f>'PLANILHA ORÇAMENTÁRIA'!D26</f>
        <v>CONCRETAGEM DE VIGAS E LAJES, FCK=25 MPA, PARA LAJES PREMOLDADAS COM USO DE BOMBA - LANÇAMENTO, ADENSAMENTO E ACABAMENTO. AF_02/2022</v>
      </c>
      <c r="C50" s="398"/>
      <c r="D50" s="398"/>
      <c r="E50" s="398"/>
      <c r="F50" s="399"/>
    </row>
    <row r="51" spans="1:6" ht="33" customHeight="1" x14ac:dyDescent="0.2">
      <c r="A51" s="185" t="s">
        <v>312</v>
      </c>
      <c r="B51" s="185" t="s">
        <v>6</v>
      </c>
      <c r="C51" s="185" t="s">
        <v>367</v>
      </c>
      <c r="D51" s="186" t="s">
        <v>314</v>
      </c>
      <c r="E51" s="393"/>
      <c r="F51" s="394"/>
    </row>
    <row r="52" spans="1:6" ht="74.099999999999994" customHeight="1" x14ac:dyDescent="0.2">
      <c r="A52" s="197" t="s">
        <v>356</v>
      </c>
      <c r="B52" s="201" t="s">
        <v>375</v>
      </c>
      <c r="C52" s="196" t="s">
        <v>423</v>
      </c>
      <c r="D52" s="186">
        <f>(((((48*7+63*3)+(55*2+20*5+20*7+64*2)+(60*4+10*15+60*4+20*14))-45*2.8))*0.15*0.3)</f>
        <v>80.415000000000006</v>
      </c>
      <c r="E52" s="395"/>
      <c r="F52" s="396"/>
    </row>
    <row r="53" spans="1:6" x14ac:dyDescent="0.2">
      <c r="A53" s="386"/>
      <c r="B53" s="386"/>
      <c r="C53" s="386"/>
      <c r="D53" s="386"/>
      <c r="E53" s="386"/>
      <c r="F53" s="386"/>
    </row>
    <row r="54" spans="1:6" x14ac:dyDescent="0.2">
      <c r="A54" s="387" t="s">
        <v>137</v>
      </c>
      <c r="B54" s="387"/>
      <c r="C54" s="387"/>
      <c r="D54" s="387"/>
      <c r="E54" s="387"/>
      <c r="F54" s="387"/>
    </row>
    <row r="55" spans="1:6" x14ac:dyDescent="0.2">
      <c r="A55" s="387"/>
      <c r="B55" s="387"/>
      <c r="C55" s="387"/>
      <c r="D55" s="387"/>
      <c r="E55" s="387"/>
      <c r="F55" s="387"/>
    </row>
    <row r="56" spans="1:6" x14ac:dyDescent="0.2">
      <c r="A56" s="388"/>
      <c r="B56" s="388"/>
      <c r="C56" s="388"/>
      <c r="D56" s="388"/>
      <c r="E56" s="388"/>
      <c r="F56" s="388"/>
    </row>
    <row r="57" spans="1:6" x14ac:dyDescent="0.2">
      <c r="A57" s="388"/>
      <c r="B57" s="388"/>
      <c r="C57" s="388"/>
      <c r="D57" s="388"/>
      <c r="E57" s="388"/>
      <c r="F57" s="388"/>
    </row>
    <row r="58" spans="1:6" x14ac:dyDescent="0.2">
      <c r="A58" s="385" t="s">
        <v>13</v>
      </c>
      <c r="B58" s="385"/>
      <c r="C58" s="385"/>
      <c r="D58" s="385"/>
      <c r="E58" s="385"/>
      <c r="F58" s="385"/>
    </row>
    <row r="59" spans="1:6" x14ac:dyDescent="0.2">
      <c r="A59" s="385" t="s">
        <v>433</v>
      </c>
      <c r="B59" s="385"/>
      <c r="C59" s="385"/>
      <c r="D59" s="385"/>
      <c r="E59" s="385"/>
      <c r="F59" s="385"/>
    </row>
  </sheetData>
  <mergeCells count="42">
    <mergeCell ref="B50:F50"/>
    <mergeCell ref="E51:F52"/>
    <mergeCell ref="E45:F46"/>
    <mergeCell ref="B47:F47"/>
    <mergeCell ref="E48:F49"/>
    <mergeCell ref="B17:F17"/>
    <mergeCell ref="E18:F19"/>
    <mergeCell ref="B26:F26"/>
    <mergeCell ref="E27:F28"/>
    <mergeCell ref="B35:F35"/>
    <mergeCell ref="B44:F44"/>
    <mergeCell ref="B20:F20"/>
    <mergeCell ref="E21:F22"/>
    <mergeCell ref="B29:F29"/>
    <mergeCell ref="E30:F31"/>
    <mergeCell ref="B23:F23"/>
    <mergeCell ref="E24:F25"/>
    <mergeCell ref="E36:F37"/>
    <mergeCell ref="B41:F41"/>
    <mergeCell ref="E42:F43"/>
    <mergeCell ref="B32:F32"/>
    <mergeCell ref="E33:F34"/>
    <mergeCell ref="B38:F38"/>
    <mergeCell ref="E39:F40"/>
    <mergeCell ref="E12:F13"/>
    <mergeCell ref="B14:F14"/>
    <mergeCell ref="E15:F16"/>
    <mergeCell ref="A6:F6"/>
    <mergeCell ref="A7:F7"/>
    <mergeCell ref="E9:F10"/>
    <mergeCell ref="B8:F8"/>
    <mergeCell ref="B11:F11"/>
    <mergeCell ref="B1:F1"/>
    <mergeCell ref="B2:F2"/>
    <mergeCell ref="B3:F3"/>
    <mergeCell ref="B4:F4"/>
    <mergeCell ref="A5:F5"/>
    <mergeCell ref="A59:F59"/>
    <mergeCell ref="A53:F53"/>
    <mergeCell ref="A54:F55"/>
    <mergeCell ref="A56:F57"/>
    <mergeCell ref="A58:F58"/>
  </mergeCells>
  <conditionalFormatting sqref="A10:D10 A13:D13 A16:D16 A19:D19 A22:D22 A25:D25 A28:D28 A31:D31 A34:D34 A37:D37 A40:D43 A46:D46 A49:D49 A52:D52">
    <cfRule type="expression" dxfId="5" priority="3" stopIfTrue="1">
      <formula>AND(#REF!&lt;&gt;"COMPOSICAO",#REF!&lt;&gt;"INSUMO",#REF!&lt;&gt;"")</formula>
    </cfRule>
    <cfRule type="expression" dxfId="4" priority="4" stopIfTrue="1">
      <formula>AND(OR(#REF!="COMPOSICAO",#REF!="INSUMO",#REF!&lt;&gt;""),#REF!&lt;&gt;"")</formula>
    </cfRule>
  </conditionalFormatting>
  <pageMargins left="0.25" right="0.25" top="1.2276785714285714" bottom="0.75" header="0.3" footer="0.3"/>
  <pageSetup paperSize="9" scale="75" fitToWidth="0" fitToHeight="0" orientation="portrait" r:id="rId1"/>
  <headerFooter>
    <oddHeader>&amp;C&amp;G</oddHeader>
    <oddFooter>&amp;CRua Antenor Mamedes, nº 911, Fone/Fax (65) 3261-1736
CEP: 78.260-000 – Araputanga – Mato Grosso
e-mail: engenharia@araputanga.mt.gov.br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view="pageLayout" zoomScaleNormal="100" zoomScaleSheetLayoutView="100" workbookViewId="0">
      <selection activeCell="C19" sqref="C19"/>
    </sheetView>
  </sheetViews>
  <sheetFormatPr defaultColWidth="12.625" defaultRowHeight="14.25" x14ac:dyDescent="0.2"/>
  <cols>
    <col min="1" max="1" width="13.875" style="180" customWidth="1"/>
    <col min="2" max="2" width="10.25" style="180" customWidth="1"/>
    <col min="3" max="3" width="46.5" style="180" customWidth="1"/>
    <col min="4" max="4" width="9.625" style="180" customWidth="1"/>
    <col min="5" max="5" width="19" style="180" customWidth="1"/>
    <col min="6" max="6" width="15.75" style="180" customWidth="1"/>
    <col min="7" max="7" width="14.75" style="180" customWidth="1"/>
    <col min="8" max="8" width="14.5" style="180" customWidth="1"/>
    <col min="9" max="41" width="7.625" style="180" customWidth="1"/>
    <col min="42" max="16384" width="12.625" style="180"/>
  </cols>
  <sheetData>
    <row r="1" spans="1:7" x14ac:dyDescent="0.2">
      <c r="A1" s="203" t="str">
        <f>'[2]PLANILHA NÃO DESONERADO'!A1</f>
        <v>Obra:</v>
      </c>
      <c r="B1" s="389" t="str">
        <f>'PLANILHA ORÇAMENTÁRIA'!B1:F1</f>
        <v>Construção de muros e calçadas em casas populares</v>
      </c>
      <c r="C1" s="390"/>
      <c r="D1" s="390"/>
      <c r="E1" s="390"/>
      <c r="F1" s="390"/>
      <c r="G1" s="390"/>
    </row>
    <row r="2" spans="1:7" x14ac:dyDescent="0.2">
      <c r="A2" s="203" t="str">
        <f>'[2]PLANILHA NÃO DESONERADO'!A2</f>
        <v>Proprietário:</v>
      </c>
      <c r="B2" s="389" t="str">
        <f>'PLANILHA ORÇAMENTÁRIA'!B2:F2</f>
        <v>Prefeitura Municipal de Araputanga</v>
      </c>
      <c r="C2" s="390"/>
      <c r="D2" s="390"/>
      <c r="E2" s="390"/>
      <c r="F2" s="390"/>
      <c r="G2" s="390"/>
    </row>
    <row r="3" spans="1:7" x14ac:dyDescent="0.2">
      <c r="A3" s="203" t="str">
        <f>'[2]PLANILHA NÃO DESONERADO'!A3</f>
        <v>Local:</v>
      </c>
      <c r="B3" s="389" t="str">
        <f>'PLANILHA ORÇAMENTÁRIA'!B3:F3</f>
        <v>Quadra 14 e 04, Loteamento carvalho e Quadra 26 Loteamento Vilage, Araputanga-MT.</v>
      </c>
      <c r="C3" s="390"/>
      <c r="D3" s="390"/>
      <c r="E3" s="390"/>
      <c r="F3" s="390"/>
      <c r="G3" s="390"/>
    </row>
    <row r="4" spans="1:7" x14ac:dyDescent="0.2">
      <c r="A4" s="203" t="str">
        <f>'[2]PLANILHA NÃO DESONERADO'!A4</f>
        <v>Data:</v>
      </c>
      <c r="B4" s="391">
        <v>45905</v>
      </c>
      <c r="C4" s="390"/>
      <c r="D4" s="390"/>
      <c r="E4" s="390"/>
      <c r="F4" s="390"/>
      <c r="G4" s="390"/>
    </row>
    <row r="5" spans="1:7" x14ac:dyDescent="0.2">
      <c r="A5" s="392"/>
      <c r="B5" s="392"/>
      <c r="C5" s="392"/>
      <c r="D5" s="392"/>
      <c r="E5" s="392"/>
      <c r="F5" s="392"/>
      <c r="G5" s="392"/>
    </row>
    <row r="6" spans="1:7" ht="15" x14ac:dyDescent="0.2">
      <c r="A6" s="400" t="s">
        <v>281</v>
      </c>
      <c r="B6" s="400"/>
      <c r="C6" s="400"/>
      <c r="D6" s="400"/>
      <c r="E6" s="400"/>
      <c r="F6" s="400"/>
      <c r="G6" s="400"/>
    </row>
    <row r="7" spans="1:7" ht="15" customHeight="1" x14ac:dyDescent="0.2">
      <c r="A7" s="400"/>
      <c r="B7" s="400"/>
      <c r="C7" s="400"/>
      <c r="D7" s="400"/>
      <c r="E7" s="400"/>
      <c r="F7" s="400"/>
      <c r="G7" s="400"/>
    </row>
    <row r="8" spans="1:7" x14ac:dyDescent="0.2">
      <c r="A8" s="400"/>
      <c r="B8" s="400"/>
      <c r="C8" s="400"/>
      <c r="D8" s="400"/>
      <c r="E8" s="400"/>
      <c r="F8" s="400"/>
      <c r="G8" s="400"/>
    </row>
    <row r="9" spans="1:7" ht="15" x14ac:dyDescent="0.2">
      <c r="A9" s="573" t="s">
        <v>45</v>
      </c>
      <c r="B9" s="574"/>
      <c r="C9" s="574"/>
      <c r="D9" s="574"/>
      <c r="E9" s="574"/>
      <c r="F9" s="574"/>
      <c r="G9" s="574"/>
    </row>
    <row r="10" spans="1:7" x14ac:dyDescent="0.2">
      <c r="A10" s="405" t="s">
        <v>277</v>
      </c>
      <c r="B10" s="406"/>
      <c r="C10" s="406"/>
      <c r="D10" s="405" t="s">
        <v>42</v>
      </c>
      <c r="E10" s="406"/>
      <c r="F10" s="406"/>
      <c r="G10" s="406"/>
    </row>
    <row r="11" spans="1:7" ht="30" x14ac:dyDescent="0.2">
      <c r="A11" s="208" t="s">
        <v>47</v>
      </c>
      <c r="B11" s="208" t="s">
        <v>74</v>
      </c>
      <c r="C11" s="208" t="s">
        <v>6</v>
      </c>
      <c r="D11" s="208"/>
      <c r="E11" s="186" t="s">
        <v>49</v>
      </c>
      <c r="F11" s="184" t="s">
        <v>50</v>
      </c>
      <c r="G11" s="184" t="s">
        <v>51</v>
      </c>
    </row>
    <row r="12" spans="1:7" ht="28.5" x14ac:dyDescent="0.2">
      <c r="A12" s="197" t="s">
        <v>63</v>
      </c>
      <c r="B12" s="198">
        <v>90780</v>
      </c>
      <c r="C12" s="183" t="s">
        <v>282</v>
      </c>
      <c r="D12" s="182" t="s">
        <v>65</v>
      </c>
      <c r="E12" s="196">
        <v>48</v>
      </c>
      <c r="F12" s="196">
        <v>61.12</v>
      </c>
      <c r="G12" s="199">
        <f>TRUNC(F12*E12,2)</f>
        <v>2933.76</v>
      </c>
    </row>
    <row r="13" spans="1:7" ht="28.5" x14ac:dyDescent="0.2">
      <c r="A13" s="197" t="s">
        <v>63</v>
      </c>
      <c r="B13" s="198">
        <v>90777</v>
      </c>
      <c r="C13" s="183" t="s">
        <v>283</v>
      </c>
      <c r="D13" s="182" t="s">
        <v>65</v>
      </c>
      <c r="E13" s="196">
        <v>8</v>
      </c>
      <c r="F13" s="196">
        <v>125.22</v>
      </c>
      <c r="G13" s="199">
        <f>TRUNC(F13*E13,2)</f>
        <v>1001.76</v>
      </c>
    </row>
    <row r="14" spans="1:7" ht="15.75" customHeight="1" x14ac:dyDescent="0.2">
      <c r="A14" s="407" t="s">
        <v>368</v>
      </c>
      <c r="B14" s="407"/>
      <c r="C14" s="407"/>
      <c r="D14" s="407"/>
      <c r="E14" s="407"/>
      <c r="F14" s="200" t="s">
        <v>71</v>
      </c>
      <c r="G14" s="195">
        <f>TRUNC(G12+G13,2)</f>
        <v>3935.52</v>
      </c>
    </row>
    <row r="15" spans="1:7" ht="15" customHeight="1" x14ac:dyDescent="0.2">
      <c r="A15" s="407" t="s">
        <v>369</v>
      </c>
      <c r="B15" s="407"/>
      <c r="C15" s="407"/>
      <c r="D15" s="407"/>
      <c r="E15" s="407"/>
      <c r="F15" s="408"/>
      <c r="G15" s="408"/>
    </row>
    <row r="16" spans="1:7" ht="15" customHeight="1" x14ac:dyDescent="0.2">
      <c r="A16" s="575"/>
      <c r="B16" s="576"/>
      <c r="C16" s="576"/>
      <c r="D16" s="576"/>
      <c r="E16" s="576"/>
      <c r="F16" s="576"/>
      <c r="G16" s="577"/>
    </row>
    <row r="17" spans="1:7" x14ac:dyDescent="0.2">
      <c r="A17" s="392"/>
      <c r="B17" s="392"/>
      <c r="C17" s="392"/>
      <c r="D17" s="392"/>
      <c r="E17" s="392"/>
      <c r="F17" s="392"/>
      <c r="G17" s="392"/>
    </row>
    <row r="18" spans="1:7" x14ac:dyDescent="0.2">
      <c r="A18" s="392"/>
      <c r="B18" s="392"/>
      <c r="C18" s="392"/>
      <c r="D18" s="392"/>
      <c r="E18" s="392"/>
      <c r="F18" s="392"/>
      <c r="G18" s="392"/>
    </row>
    <row r="20" spans="1:7" ht="46.5" customHeight="1" x14ac:dyDescent="0.2"/>
    <row r="30" spans="1:7" ht="67.5" customHeight="1" x14ac:dyDescent="0.2"/>
    <row r="38" ht="73.5" customHeight="1" x14ac:dyDescent="0.2"/>
    <row r="46" ht="64.5" customHeight="1" x14ac:dyDescent="0.2"/>
    <row r="47" ht="22.5" customHeight="1" x14ac:dyDescent="0.2"/>
    <row r="55" ht="66.75" customHeight="1" x14ac:dyDescent="0.2"/>
    <row r="65" ht="58.5" customHeight="1" x14ac:dyDescent="0.2"/>
    <row r="75" ht="60.75" customHeight="1" x14ac:dyDescent="0.2"/>
    <row r="91" ht="52.5" customHeight="1" x14ac:dyDescent="0.2"/>
    <row r="99" ht="30" customHeight="1" x14ac:dyDescent="0.2"/>
    <row r="102" ht="78" customHeight="1" x14ac:dyDescent="0.2"/>
    <row r="103" ht="87.75" customHeight="1" x14ac:dyDescent="0.2"/>
    <row r="104" ht="94.5" customHeight="1" x14ac:dyDescent="0.2"/>
    <row r="106" ht="62.25" customHeight="1" x14ac:dyDescent="0.2"/>
    <row r="107" ht="47.25" customHeight="1" x14ac:dyDescent="0.2"/>
    <row r="109" ht="36" customHeight="1" x14ac:dyDescent="0.2"/>
    <row r="119" ht="84" customHeight="1" x14ac:dyDescent="0.2"/>
    <row r="120" ht="99.75" customHeight="1" x14ac:dyDescent="0.2"/>
    <row r="121" ht="122.25" customHeight="1" x14ac:dyDescent="0.2"/>
    <row r="126" ht="102" customHeight="1" x14ac:dyDescent="0.2"/>
    <row r="127" ht="103.5" customHeight="1" x14ac:dyDescent="0.2"/>
    <row r="128" ht="100.5" customHeight="1" x14ac:dyDescent="0.2"/>
    <row r="132" spans="1:5" ht="87" customHeight="1" x14ac:dyDescent="0.2"/>
    <row r="144" spans="1:5" x14ac:dyDescent="0.2">
      <c r="A144" s="194"/>
      <c r="B144" s="194"/>
      <c r="C144" s="194"/>
      <c r="D144" s="194"/>
      <c r="E144" s="194"/>
    </row>
    <row r="145" spans="3:5" ht="15" x14ac:dyDescent="0.25">
      <c r="C145" s="181"/>
      <c r="D145" s="181"/>
      <c r="E145" s="181"/>
    </row>
    <row r="146" spans="3:5" ht="15" x14ac:dyDescent="0.25">
      <c r="C146" s="181"/>
      <c r="D146" s="181"/>
      <c r="E146" s="181"/>
    </row>
    <row r="147" spans="3:5" ht="15" x14ac:dyDescent="0.25">
      <c r="C147" s="181"/>
      <c r="D147" s="181"/>
      <c r="E147" s="181"/>
    </row>
    <row r="148" spans="3:5" ht="15" x14ac:dyDescent="0.25">
      <c r="C148" s="181"/>
      <c r="D148" s="181"/>
      <c r="E148" s="181"/>
    </row>
    <row r="149" spans="3:5" ht="15" x14ac:dyDescent="0.25">
      <c r="C149" s="181"/>
      <c r="D149" s="181"/>
      <c r="E149" s="181"/>
    </row>
  </sheetData>
  <mergeCells count="15">
    <mergeCell ref="A7:G8"/>
    <mergeCell ref="B1:G1"/>
    <mergeCell ref="B2:G2"/>
    <mergeCell ref="B3:G3"/>
    <mergeCell ref="B4:G4"/>
    <mergeCell ref="A6:G6"/>
    <mergeCell ref="A5:G5"/>
    <mergeCell ref="A17:G18"/>
    <mergeCell ref="A9:G9"/>
    <mergeCell ref="A10:C10"/>
    <mergeCell ref="D10:G10"/>
    <mergeCell ref="A14:E14"/>
    <mergeCell ref="A15:E15"/>
    <mergeCell ref="F15:G15"/>
    <mergeCell ref="A16:G16"/>
  </mergeCells>
  <phoneticPr fontId="15" type="noConversion"/>
  <conditionalFormatting sqref="A12:F13">
    <cfRule type="expression" dxfId="3" priority="3" stopIfTrue="1">
      <formula>AND($A12&lt;&gt;"COMPOSICAO",$A12&lt;&gt;"INSUMO",$A12&lt;&gt;"")</formula>
    </cfRule>
    <cfRule type="expression" dxfId="2" priority="4" stopIfTrue="1">
      <formula>AND(OR($A12="COMPOSICAO",$A12="INSUMO",$A12&lt;&gt;""),$A12&lt;&gt;"")</formula>
    </cfRule>
  </conditionalFormatting>
  <conditionalFormatting sqref="G12:G13">
    <cfRule type="expression" dxfId="1" priority="1" stopIfTrue="1">
      <formula>AND(#REF!&lt;&gt;"COMPOSICAO",#REF!&lt;&gt;"INSUMO",#REF!&lt;&gt;"")</formula>
    </cfRule>
    <cfRule type="expression" dxfId="0" priority="2" stopIfTrue="1">
      <formula>AND(OR(#REF!="COMPOSICAO",#REF!="INSUMO",#REF!&lt;&gt;""),#REF!&lt;&gt;"")</formula>
    </cfRule>
  </conditionalFormatting>
  <pageMargins left="0.511811024" right="0.511811024" top="1.125" bottom="1.0729166666666667" header="0" footer="0"/>
  <pageSetup paperSize="9" scale="90" fitToWidth="0" fitToHeight="0" orientation="landscape" r:id="rId1"/>
  <headerFooter>
    <oddHeader>&amp;C&amp;G</oddHeader>
    <oddFooter>&amp;CRua Antenor Mamedes, nº 911, Fone/Fax (65) 3261-1736
CEP: 78.260-000 – Araputanga – Mato Grosso
e-mail: engenharia@araputanga.mt.gov.br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12"/>
  <sheetViews>
    <sheetView view="pageLayout" zoomScaleNormal="100" workbookViewId="0">
      <selection activeCell="D36" sqref="D36:F37"/>
    </sheetView>
  </sheetViews>
  <sheetFormatPr defaultColWidth="12.625" defaultRowHeight="15" customHeight="1" x14ac:dyDescent="0.2"/>
  <cols>
    <col min="1" max="1" width="11.875" customWidth="1"/>
    <col min="2" max="2" width="16.75" customWidth="1"/>
    <col min="3" max="3" width="14.625" customWidth="1"/>
    <col min="4" max="4" width="12.5" customWidth="1"/>
    <col min="5" max="5" width="16.5" customWidth="1"/>
    <col min="6" max="7" width="15.875" customWidth="1"/>
    <col min="8" max="8" width="11.625" customWidth="1"/>
    <col min="9" max="9" width="15.5" customWidth="1"/>
    <col min="10" max="10" width="12.125" customWidth="1"/>
    <col min="11" max="11" width="11.875" customWidth="1"/>
    <col min="12" max="23" width="7.625" customWidth="1"/>
  </cols>
  <sheetData>
    <row r="1" spans="1:11" ht="14.25" x14ac:dyDescent="0.2">
      <c r="A1" s="56" t="s">
        <v>0</v>
      </c>
      <c r="B1" s="411" t="str">
        <f>PLANILHA!B1</f>
        <v>Construção de rede de drenagem pluvial</v>
      </c>
      <c r="C1" s="374"/>
      <c r="D1" s="374"/>
      <c r="E1" s="374"/>
      <c r="F1" s="374"/>
      <c r="G1" s="374"/>
      <c r="H1" s="374"/>
      <c r="I1" s="374"/>
      <c r="J1" s="374"/>
      <c r="K1" s="374"/>
    </row>
    <row r="2" spans="1:11" ht="14.25" x14ac:dyDescent="0.2">
      <c r="A2" s="56" t="s">
        <v>1</v>
      </c>
      <c r="B2" s="411" t="str">
        <f>PLANILHA!B2</f>
        <v>Prefeitura Municipal de Indiavaí</v>
      </c>
      <c r="C2" s="374"/>
      <c r="D2" s="374"/>
      <c r="E2" s="374"/>
      <c r="F2" s="374"/>
      <c r="G2" s="374"/>
      <c r="H2" s="374"/>
      <c r="I2" s="374"/>
      <c r="J2" s="374"/>
      <c r="K2" s="374"/>
    </row>
    <row r="3" spans="1:11" ht="14.25" x14ac:dyDescent="0.2">
      <c r="A3" s="56" t="s">
        <v>2</v>
      </c>
      <c r="B3" s="411" t="str">
        <f>PLANILHA!B3</f>
        <v>Avenida Governador Jayme Campos</v>
      </c>
      <c r="C3" s="374"/>
      <c r="D3" s="374"/>
      <c r="E3" s="374"/>
      <c r="F3" s="374"/>
      <c r="G3" s="374"/>
      <c r="H3" s="374"/>
      <c r="I3" s="374"/>
      <c r="J3" s="374"/>
      <c r="K3" s="374"/>
    </row>
    <row r="4" spans="1:11" thickBot="1" x14ac:dyDescent="0.25">
      <c r="A4" s="57" t="s">
        <v>3</v>
      </c>
      <c r="B4" s="412" t="str">
        <f>DESCRIÇÃO!B4</f>
        <v>30 de julho de 2021</v>
      </c>
      <c r="C4" s="413"/>
      <c r="D4" s="413"/>
      <c r="E4" s="413"/>
      <c r="F4" s="413"/>
      <c r="G4" s="413"/>
      <c r="H4" s="413"/>
      <c r="I4" s="413"/>
      <c r="J4" s="413"/>
      <c r="K4" s="413"/>
    </row>
    <row r="5" spans="1:11" ht="15.75" thickBot="1" x14ac:dyDescent="0.25">
      <c r="A5" s="414" t="s">
        <v>171</v>
      </c>
      <c r="B5" s="415"/>
      <c r="C5" s="415"/>
      <c r="D5" s="415"/>
      <c r="E5" s="415"/>
      <c r="F5" s="415"/>
      <c r="G5" s="415"/>
      <c r="H5" s="415"/>
      <c r="I5" s="415"/>
      <c r="J5" s="415"/>
      <c r="K5" s="416"/>
    </row>
    <row r="6" spans="1:11" ht="15" customHeight="1" x14ac:dyDescent="0.2">
      <c r="A6" s="421" t="s">
        <v>149</v>
      </c>
      <c r="B6" s="419" t="s">
        <v>151</v>
      </c>
      <c r="C6" s="419" t="s">
        <v>153</v>
      </c>
      <c r="D6" s="417" t="s">
        <v>152</v>
      </c>
      <c r="E6" s="417" t="s">
        <v>155</v>
      </c>
      <c r="F6" s="417" t="s">
        <v>172</v>
      </c>
      <c r="G6" s="417" t="s">
        <v>161</v>
      </c>
      <c r="H6" s="417" t="s">
        <v>154</v>
      </c>
      <c r="I6" s="417" t="s">
        <v>157</v>
      </c>
      <c r="J6" s="417" t="s">
        <v>158</v>
      </c>
      <c r="K6" s="409" t="s">
        <v>159</v>
      </c>
    </row>
    <row r="7" spans="1:11" ht="14.25" x14ac:dyDescent="0.2">
      <c r="A7" s="422"/>
      <c r="B7" s="423"/>
      <c r="C7" s="420"/>
      <c r="D7" s="418"/>
      <c r="E7" s="418"/>
      <c r="F7" s="418"/>
      <c r="G7" s="418"/>
      <c r="H7" s="418"/>
      <c r="I7" s="418"/>
      <c r="J7" s="418"/>
      <c r="K7" s="410"/>
    </row>
    <row r="8" spans="1:11" ht="36.75" customHeight="1" x14ac:dyDescent="0.2">
      <c r="A8" s="422"/>
      <c r="B8" s="423"/>
      <c r="C8" s="420"/>
      <c r="D8" s="418"/>
      <c r="E8" s="418"/>
      <c r="F8" s="418"/>
      <c r="G8" s="418"/>
      <c r="H8" s="418"/>
      <c r="I8" s="418"/>
      <c r="J8" s="418"/>
      <c r="K8" s="410"/>
    </row>
    <row r="9" spans="1:11" ht="14.25" x14ac:dyDescent="0.2">
      <c r="A9" s="104" t="s">
        <v>150</v>
      </c>
      <c r="B9" s="102">
        <v>0.4</v>
      </c>
      <c r="C9" s="102">
        <v>16.32</v>
      </c>
      <c r="D9" s="102">
        <v>0.9</v>
      </c>
      <c r="E9" s="102">
        <v>1</v>
      </c>
      <c r="F9" s="102">
        <v>1.89</v>
      </c>
      <c r="G9" s="102">
        <v>0.06</v>
      </c>
      <c r="H9" s="102">
        <f t="shared" ref="H9:H32" si="0">0.1</f>
        <v>0.1</v>
      </c>
      <c r="I9" s="102">
        <f>(C9*D9)*H9</f>
        <v>1.4688000000000001</v>
      </c>
      <c r="J9" s="102">
        <f>(C9*D9)*(E9+((C9*F9/100)/2))</f>
        <v>16.953242111999998</v>
      </c>
      <c r="K9" s="105">
        <f>(C9*D9)*(E9+(C9*((F9/100)/2)))-(((PI()*(((B9+(G9*2))/2)^2))*C9)+(H9*C9*D9))</f>
        <v>12.018536565594822</v>
      </c>
    </row>
    <row r="10" spans="1:11" ht="14.25" x14ac:dyDescent="0.2">
      <c r="A10" s="104" t="s">
        <v>162</v>
      </c>
      <c r="B10" s="102">
        <v>0.4</v>
      </c>
      <c r="C10" s="102">
        <v>15.47</v>
      </c>
      <c r="D10" s="102">
        <v>0.9</v>
      </c>
      <c r="E10" s="102">
        <v>1</v>
      </c>
      <c r="F10" s="102">
        <v>7.16</v>
      </c>
      <c r="G10" s="102">
        <v>0.06</v>
      </c>
      <c r="H10" s="102">
        <f t="shared" si="0"/>
        <v>0.1</v>
      </c>
      <c r="I10" s="102">
        <f>(C10*D10)*H10</f>
        <v>1.3923000000000001</v>
      </c>
      <c r="J10" s="102">
        <f>(C10*D10)*(E10+((C10*F10/100)/2))</f>
        <v>21.633919398</v>
      </c>
      <c r="K10" s="105">
        <f>(C10*D10)*(E10+(C10*((F10/100)/2)))-(((PI()*(((B10+(G10*2))/2)^2))*C10)+(H10*C10*D10))</f>
        <v>16.956229765470095</v>
      </c>
    </row>
    <row r="11" spans="1:11" ht="14.25" x14ac:dyDescent="0.2">
      <c r="A11" s="104" t="s">
        <v>163</v>
      </c>
      <c r="B11" s="102">
        <v>0.4</v>
      </c>
      <c r="C11" s="102">
        <v>14.12</v>
      </c>
      <c r="D11" s="102">
        <v>0.9</v>
      </c>
      <c r="E11" s="102">
        <v>1</v>
      </c>
      <c r="F11" s="102">
        <v>2.37</v>
      </c>
      <c r="G11" s="102">
        <v>0.08</v>
      </c>
      <c r="H11" s="102">
        <f t="shared" si="0"/>
        <v>0.1</v>
      </c>
      <c r="I11" s="102">
        <f t="shared" ref="I11:I17" si="1">(C11*D11)*H11</f>
        <v>1.2708000000000002</v>
      </c>
      <c r="J11" s="102">
        <f t="shared" ref="J11:J17" si="2">(C11*D11)*((E11+F11)/2)</f>
        <v>21.412980000000001</v>
      </c>
      <c r="K11" s="105">
        <f>(C11*D11)*((E11+F11)/2)-(((PI()*(((B11+(G11*2))/2)^2))*C11)+(H11*C11*D11))</f>
        <v>16.664411799734872</v>
      </c>
    </row>
    <row r="12" spans="1:11" ht="14.25" x14ac:dyDescent="0.2">
      <c r="A12" s="104" t="s">
        <v>164</v>
      </c>
      <c r="B12" s="102">
        <v>0.4</v>
      </c>
      <c r="C12" s="102">
        <v>15.98</v>
      </c>
      <c r="D12" s="102">
        <v>0.9</v>
      </c>
      <c r="E12" s="102">
        <v>1</v>
      </c>
      <c r="F12" s="102">
        <v>0.59</v>
      </c>
      <c r="G12" s="102">
        <v>0.08</v>
      </c>
      <c r="H12" s="102">
        <f t="shared" si="0"/>
        <v>0.1</v>
      </c>
      <c r="I12" s="102">
        <f t="shared" si="1"/>
        <v>1.4382000000000001</v>
      </c>
      <c r="J12" s="102">
        <f t="shared" si="2"/>
        <v>11.43369</v>
      </c>
      <c r="K12" s="105">
        <f t="shared" ref="K12:K17" si="3">(C12*D12)*((E12+F12)/2)-(((PI()*(((B12+(G12*2))/2)^2))*C12)+(H12*C12*D12))</f>
        <v>6.0596021926177919</v>
      </c>
    </row>
    <row r="13" spans="1:11" ht="14.25" x14ac:dyDescent="0.2">
      <c r="A13" s="104" t="s">
        <v>165</v>
      </c>
      <c r="B13" s="102">
        <v>0.4</v>
      </c>
      <c r="C13" s="102">
        <v>16.11</v>
      </c>
      <c r="D13" s="102">
        <v>0.9</v>
      </c>
      <c r="E13" s="102">
        <v>1</v>
      </c>
      <c r="F13" s="102">
        <v>0.97</v>
      </c>
      <c r="G13" s="102">
        <v>0.08</v>
      </c>
      <c r="H13" s="102">
        <f t="shared" si="0"/>
        <v>0.1</v>
      </c>
      <c r="I13" s="102">
        <f t="shared" si="1"/>
        <v>1.4499000000000002</v>
      </c>
      <c r="J13" s="102">
        <f t="shared" si="2"/>
        <v>14.281515000000001</v>
      </c>
      <c r="K13" s="105">
        <f t="shared" si="3"/>
        <v>8.8637080802924046</v>
      </c>
    </row>
    <row r="14" spans="1:11" ht="14.25" x14ac:dyDescent="0.2">
      <c r="A14" s="104" t="s">
        <v>166</v>
      </c>
      <c r="B14" s="102">
        <v>0.4</v>
      </c>
      <c r="C14" s="102">
        <v>14.71</v>
      </c>
      <c r="D14" s="102">
        <v>0.9</v>
      </c>
      <c r="E14" s="102">
        <v>1</v>
      </c>
      <c r="F14" s="102">
        <v>1.1100000000000001</v>
      </c>
      <c r="G14" s="102">
        <v>0.08</v>
      </c>
      <c r="H14" s="102">
        <f t="shared" si="0"/>
        <v>0.1</v>
      </c>
      <c r="I14" s="102">
        <f t="shared" si="1"/>
        <v>1.3239000000000001</v>
      </c>
      <c r="J14" s="102">
        <f t="shared" si="2"/>
        <v>13.967145000000002</v>
      </c>
      <c r="K14" s="105">
        <f t="shared" si="3"/>
        <v>9.0201592899504224</v>
      </c>
    </row>
    <row r="15" spans="1:11" ht="14.25" x14ac:dyDescent="0.2">
      <c r="A15" s="104" t="s">
        <v>167</v>
      </c>
      <c r="B15" s="102">
        <v>0.4</v>
      </c>
      <c r="C15" s="102">
        <v>15.23</v>
      </c>
      <c r="D15" s="102">
        <v>0.9</v>
      </c>
      <c r="E15" s="102">
        <v>1</v>
      </c>
      <c r="F15" s="102">
        <v>0.46</v>
      </c>
      <c r="G15" s="102">
        <v>0.08</v>
      </c>
      <c r="H15" s="102">
        <f t="shared" si="0"/>
        <v>0.1</v>
      </c>
      <c r="I15" s="102">
        <f t="shared" si="1"/>
        <v>1.3707000000000003</v>
      </c>
      <c r="J15" s="102">
        <f t="shared" si="2"/>
        <v>10.00611</v>
      </c>
      <c r="K15" s="105">
        <f t="shared" si="3"/>
        <v>4.8842478406488716</v>
      </c>
    </row>
    <row r="16" spans="1:11" ht="14.25" x14ac:dyDescent="0.2">
      <c r="A16" s="104" t="s">
        <v>168</v>
      </c>
      <c r="B16" s="102">
        <v>0.4</v>
      </c>
      <c r="C16" s="102">
        <v>13.53</v>
      </c>
      <c r="D16" s="102">
        <v>0.9</v>
      </c>
      <c r="E16" s="102">
        <v>1</v>
      </c>
      <c r="F16" s="102">
        <v>0.42</v>
      </c>
      <c r="G16" s="102">
        <v>0.08</v>
      </c>
      <c r="H16" s="102">
        <f t="shared" si="0"/>
        <v>0.1</v>
      </c>
      <c r="I16" s="102">
        <f t="shared" si="1"/>
        <v>1.2177</v>
      </c>
      <c r="J16" s="102">
        <f t="shared" si="2"/>
        <v>8.6456699999999991</v>
      </c>
      <c r="K16" s="105">
        <f t="shared" si="3"/>
        <v>4.095519309519319</v>
      </c>
    </row>
    <row r="17" spans="1:11" ht="14.25" x14ac:dyDescent="0.2">
      <c r="A17" s="104" t="s">
        <v>169</v>
      </c>
      <c r="B17" s="102">
        <v>0.4</v>
      </c>
      <c r="C17" s="102">
        <v>12.98</v>
      </c>
      <c r="D17" s="102">
        <v>0.9</v>
      </c>
      <c r="E17" s="102">
        <v>1</v>
      </c>
      <c r="F17" s="102">
        <v>0.41</v>
      </c>
      <c r="G17" s="102">
        <v>0.08</v>
      </c>
      <c r="H17" s="102">
        <f t="shared" si="0"/>
        <v>0.1</v>
      </c>
      <c r="I17" s="102">
        <f t="shared" si="1"/>
        <v>1.1682000000000001</v>
      </c>
      <c r="J17" s="102">
        <f t="shared" si="2"/>
        <v>8.235809999999999</v>
      </c>
      <c r="K17" s="105">
        <f t="shared" si="3"/>
        <v>3.8706247847421107</v>
      </c>
    </row>
    <row r="18" spans="1:11" ht="14.25" x14ac:dyDescent="0.2">
      <c r="A18" s="104" t="s">
        <v>216</v>
      </c>
      <c r="B18" s="102">
        <v>0.4</v>
      </c>
      <c r="C18" s="102">
        <v>11.51</v>
      </c>
      <c r="D18" s="102">
        <v>0.9</v>
      </c>
      <c r="E18" s="102">
        <v>1</v>
      </c>
      <c r="F18" s="102">
        <v>1.57</v>
      </c>
      <c r="G18" s="102">
        <v>0.06</v>
      </c>
      <c r="H18" s="102">
        <f t="shared" si="0"/>
        <v>0.1</v>
      </c>
      <c r="I18" s="102">
        <f>(C18*D18)*H18</f>
        <v>1.0359</v>
      </c>
      <c r="J18" s="102">
        <f>(C18*D18)*(E18+((C18*F18/100)/2))</f>
        <v>11.294971906499999</v>
      </c>
      <c r="K18" s="105">
        <f>(C18*D18)*(E18+(C18*((F18/100)/2)))-(((PI()*(((B18+(G18*2))/2)^2))*C18)+(H18*C18*D18))</f>
        <v>7.8146740609654666</v>
      </c>
    </row>
    <row r="19" spans="1:11" ht="14.25" x14ac:dyDescent="0.2">
      <c r="A19" s="104" t="s">
        <v>220</v>
      </c>
      <c r="B19" s="102">
        <v>0.4</v>
      </c>
      <c r="C19" s="102">
        <v>14.25</v>
      </c>
      <c r="D19" s="102">
        <v>0.9</v>
      </c>
      <c r="E19" s="102">
        <v>1</v>
      </c>
      <c r="F19" s="102">
        <v>0.84</v>
      </c>
      <c r="G19" s="102">
        <v>0.06</v>
      </c>
      <c r="H19" s="102">
        <f t="shared" si="0"/>
        <v>0.1</v>
      </c>
      <c r="I19" s="102">
        <f>(C19*D19)*H19</f>
        <v>1.2825000000000002</v>
      </c>
      <c r="J19" s="102">
        <f>(C19*D19)*(E19+((C19*F19/100)/2))</f>
        <v>13.59257625</v>
      </c>
      <c r="K19" s="105">
        <f>(C19*D19)*(E19+(C19*((F19/100)/2)))-(((PI()*(((B19+(G19*2))/2)^2))*C19)+(H19*C19*D19))</f>
        <v>9.2837800467969522</v>
      </c>
    </row>
    <row r="20" spans="1:11" ht="14.25" x14ac:dyDescent="0.2">
      <c r="A20" s="104" t="s">
        <v>221</v>
      </c>
      <c r="B20" s="102">
        <v>0.4</v>
      </c>
      <c r="C20" s="102">
        <v>12.93</v>
      </c>
      <c r="D20" s="102">
        <v>0.9</v>
      </c>
      <c r="E20" s="102">
        <v>1</v>
      </c>
      <c r="F20" s="102">
        <v>0.5</v>
      </c>
      <c r="G20" s="102">
        <v>0.08</v>
      </c>
      <c r="H20" s="102">
        <f t="shared" si="0"/>
        <v>0.1</v>
      </c>
      <c r="I20" s="102">
        <f t="shared" ref="I20:I26" si="4">(C20*D20)*H20</f>
        <v>1.1637000000000002</v>
      </c>
      <c r="J20" s="102">
        <f t="shared" ref="J20:J26" si="5">(C20*D20)*((E20+F20)/2)</f>
        <v>8.7277500000000003</v>
      </c>
      <c r="K20" s="105">
        <f t="shared" ref="K20:K26" si="6">(C20*D20)*((E20+F20)/2)-(((PI()*(((B20+(G20*2))/2)^2))*C20)+(H20*C20*D20))</f>
        <v>4.3793798279441836</v>
      </c>
    </row>
    <row r="21" spans="1:11" ht="14.25" x14ac:dyDescent="0.2">
      <c r="A21" s="104" t="s">
        <v>222</v>
      </c>
      <c r="B21" s="102">
        <v>0.4</v>
      </c>
      <c r="C21" s="102">
        <v>18.260000000000002</v>
      </c>
      <c r="D21" s="102">
        <v>0.9</v>
      </c>
      <c r="E21" s="102">
        <v>1</v>
      </c>
      <c r="F21" s="102">
        <v>1.1299999999999999</v>
      </c>
      <c r="G21" s="102">
        <v>0.08</v>
      </c>
      <c r="H21" s="102">
        <f t="shared" si="0"/>
        <v>0.1</v>
      </c>
      <c r="I21" s="102">
        <f t="shared" si="4"/>
        <v>1.6434000000000002</v>
      </c>
      <c r="J21" s="102">
        <f t="shared" si="5"/>
        <v>17.502210000000002</v>
      </c>
      <c r="K21" s="105">
        <f t="shared" si="6"/>
        <v>11.361356222603311</v>
      </c>
    </row>
    <row r="22" spans="1:11" ht="14.25" x14ac:dyDescent="0.2">
      <c r="A22" s="104" t="s">
        <v>223</v>
      </c>
      <c r="B22" s="102">
        <v>0.4</v>
      </c>
      <c r="C22" s="102">
        <v>11.56</v>
      </c>
      <c r="D22" s="102">
        <v>0.9</v>
      </c>
      <c r="E22" s="102">
        <v>1</v>
      </c>
      <c r="F22" s="102">
        <v>2.4</v>
      </c>
      <c r="G22" s="102">
        <v>0.08</v>
      </c>
      <c r="H22" s="102">
        <f t="shared" si="0"/>
        <v>0.1</v>
      </c>
      <c r="I22" s="102">
        <f t="shared" si="4"/>
        <v>1.0404</v>
      </c>
      <c r="J22" s="102">
        <f t="shared" si="5"/>
        <v>17.686799999999998</v>
      </c>
      <c r="K22" s="105">
        <f t="shared" si="6"/>
        <v>13.799162011680954</v>
      </c>
    </row>
    <row r="23" spans="1:11" ht="14.25" x14ac:dyDescent="0.2">
      <c r="A23" s="104" t="s">
        <v>224</v>
      </c>
      <c r="B23" s="102">
        <v>0.4</v>
      </c>
      <c r="C23" s="102">
        <v>14.29</v>
      </c>
      <c r="D23" s="102">
        <v>0.9</v>
      </c>
      <c r="E23" s="102">
        <v>1</v>
      </c>
      <c r="F23" s="102">
        <v>1.44</v>
      </c>
      <c r="G23" s="102">
        <v>0.08</v>
      </c>
      <c r="H23" s="102">
        <f t="shared" si="0"/>
        <v>0.1</v>
      </c>
      <c r="I23" s="102">
        <f t="shared" si="4"/>
        <v>1.2861</v>
      </c>
      <c r="J23" s="102">
        <f t="shared" si="5"/>
        <v>15.690419999999998</v>
      </c>
      <c r="K23" s="105">
        <f t="shared" si="6"/>
        <v>10.884680652847823</v>
      </c>
    </row>
    <row r="24" spans="1:11" ht="14.25" x14ac:dyDescent="0.2">
      <c r="A24" s="104" t="s">
        <v>225</v>
      </c>
      <c r="B24" s="102">
        <v>0.4</v>
      </c>
      <c r="C24" s="102">
        <v>11.6</v>
      </c>
      <c r="D24" s="102">
        <v>0.9</v>
      </c>
      <c r="E24" s="102">
        <v>1</v>
      </c>
      <c r="F24" s="102">
        <v>0.5</v>
      </c>
      <c r="G24" s="102">
        <v>0.08</v>
      </c>
      <c r="H24" s="102">
        <f t="shared" si="0"/>
        <v>0.1</v>
      </c>
      <c r="I24" s="102">
        <f t="shared" si="4"/>
        <v>1.044</v>
      </c>
      <c r="J24" s="102">
        <f t="shared" si="5"/>
        <v>7.83</v>
      </c>
      <c r="K24" s="105">
        <f t="shared" si="6"/>
        <v>3.9289099771192983</v>
      </c>
    </row>
    <row r="25" spans="1:11" ht="14.25" x14ac:dyDescent="0.2">
      <c r="A25" s="104" t="s">
        <v>226</v>
      </c>
      <c r="B25" s="102">
        <v>0.4</v>
      </c>
      <c r="C25" s="102">
        <v>15.74</v>
      </c>
      <c r="D25" s="102">
        <v>0.9</v>
      </c>
      <c r="E25" s="102">
        <v>1</v>
      </c>
      <c r="F25" s="102">
        <v>1.68</v>
      </c>
      <c r="G25" s="102">
        <v>0.08</v>
      </c>
      <c r="H25" s="102">
        <f t="shared" si="0"/>
        <v>0.1</v>
      </c>
      <c r="I25" s="102">
        <f t="shared" si="4"/>
        <v>1.4166000000000001</v>
      </c>
      <c r="J25" s="102">
        <f t="shared" si="5"/>
        <v>18.982439999999997</v>
      </c>
      <c r="K25" s="105">
        <f t="shared" si="6"/>
        <v>13.689064399987735</v>
      </c>
    </row>
    <row r="26" spans="1:11" ht="14.25" x14ac:dyDescent="0.2">
      <c r="A26" s="104" t="s">
        <v>227</v>
      </c>
      <c r="B26" s="102">
        <v>0.4</v>
      </c>
      <c r="C26" s="102">
        <v>13.1</v>
      </c>
      <c r="D26" s="102">
        <v>0.9</v>
      </c>
      <c r="E26" s="102">
        <v>1</v>
      </c>
      <c r="F26" s="102">
        <v>1.74</v>
      </c>
      <c r="G26" s="102">
        <v>0.08</v>
      </c>
      <c r="H26" s="102">
        <f t="shared" si="0"/>
        <v>0.1</v>
      </c>
      <c r="I26" s="102">
        <f t="shared" si="4"/>
        <v>1.179</v>
      </c>
      <c r="J26" s="102">
        <f t="shared" si="5"/>
        <v>16.1523</v>
      </c>
      <c r="K26" s="105">
        <f t="shared" si="6"/>
        <v>11.746758681057138</v>
      </c>
    </row>
    <row r="27" spans="1:11" ht="14.25" x14ac:dyDescent="0.2">
      <c r="A27" s="104" t="s">
        <v>228</v>
      </c>
      <c r="B27" s="102">
        <v>0.4</v>
      </c>
      <c r="C27" s="102">
        <v>15.16</v>
      </c>
      <c r="D27" s="102">
        <v>0.9</v>
      </c>
      <c r="E27" s="102">
        <v>1</v>
      </c>
      <c r="F27" s="102">
        <v>0.97</v>
      </c>
      <c r="G27" s="102">
        <v>0.08</v>
      </c>
      <c r="H27" s="102">
        <f t="shared" si="0"/>
        <v>0.1</v>
      </c>
      <c r="I27" s="102">
        <f t="shared" ref="I27:I32" si="7">(C27*D27)*H27</f>
        <v>1.3644000000000001</v>
      </c>
      <c r="J27" s="102">
        <f t="shared" ref="J27:J32" si="8">(C27*D27)*((E27+F27)/2)</f>
        <v>13.43934</v>
      </c>
      <c r="K27" s="105">
        <f t="shared" ref="K27:K32" si="9">(C27*D27)*((E27+F27)/2)-(((PI()*(((B27+(G27*2))/2)^2))*C27)+(H27*C27*D27))</f>
        <v>8.3410189011317719</v>
      </c>
    </row>
    <row r="28" spans="1:11" ht="14.25" x14ac:dyDescent="0.2">
      <c r="A28" s="104" t="s">
        <v>229</v>
      </c>
      <c r="B28" s="102">
        <v>0.4</v>
      </c>
      <c r="C28" s="102">
        <v>13.69</v>
      </c>
      <c r="D28" s="102">
        <v>0.9</v>
      </c>
      <c r="E28" s="102">
        <v>1</v>
      </c>
      <c r="F28" s="102">
        <v>2.98</v>
      </c>
      <c r="G28" s="102">
        <v>0.08</v>
      </c>
      <c r="H28" s="102">
        <f t="shared" si="0"/>
        <v>0.1</v>
      </c>
      <c r="I28" s="102">
        <f t="shared" si="7"/>
        <v>1.2321</v>
      </c>
      <c r="J28" s="102">
        <f t="shared" si="8"/>
        <v>24.518789999999999</v>
      </c>
      <c r="K28" s="105">
        <f t="shared" si="9"/>
        <v>19.914831171272688</v>
      </c>
    </row>
    <row r="29" spans="1:11" ht="14.25" x14ac:dyDescent="0.2">
      <c r="A29" s="104" t="s">
        <v>230</v>
      </c>
      <c r="B29" s="102">
        <v>0.4</v>
      </c>
      <c r="C29" s="102">
        <v>14.17</v>
      </c>
      <c r="D29" s="102">
        <v>0.9</v>
      </c>
      <c r="E29" s="102">
        <v>1</v>
      </c>
      <c r="F29" s="102">
        <v>0.5</v>
      </c>
      <c r="G29" s="102">
        <v>0.08</v>
      </c>
      <c r="H29" s="102">
        <f t="shared" si="0"/>
        <v>0.1</v>
      </c>
      <c r="I29" s="102">
        <f t="shared" si="7"/>
        <v>1.2753000000000001</v>
      </c>
      <c r="J29" s="102">
        <f t="shared" si="8"/>
        <v>9.5647500000000001</v>
      </c>
      <c r="K29" s="105">
        <f t="shared" si="9"/>
        <v>4.7993667565327982</v>
      </c>
    </row>
    <row r="30" spans="1:11" ht="14.25" x14ac:dyDescent="0.2">
      <c r="A30" s="104" t="s">
        <v>231</v>
      </c>
      <c r="B30" s="102">
        <v>0.4</v>
      </c>
      <c r="C30" s="102">
        <v>13.5</v>
      </c>
      <c r="D30" s="102">
        <v>0.9</v>
      </c>
      <c r="E30" s="102">
        <v>1</v>
      </c>
      <c r="F30" s="102">
        <v>2.96</v>
      </c>
      <c r="G30" s="102">
        <v>0.08</v>
      </c>
      <c r="H30" s="102">
        <f t="shared" si="0"/>
        <v>0.1</v>
      </c>
      <c r="I30" s="102">
        <f t="shared" si="7"/>
        <v>1.2150000000000001</v>
      </c>
      <c r="J30" s="102">
        <f t="shared" si="8"/>
        <v>24.057000000000002</v>
      </c>
      <c r="K30" s="105">
        <f t="shared" si="9"/>
        <v>19.516938335440564</v>
      </c>
    </row>
    <row r="31" spans="1:11" ht="14.25" x14ac:dyDescent="0.2">
      <c r="A31" s="104" t="s">
        <v>232</v>
      </c>
      <c r="B31" s="102">
        <v>0.4</v>
      </c>
      <c r="C31" s="102">
        <v>10.33</v>
      </c>
      <c r="D31" s="102">
        <v>0.9</v>
      </c>
      <c r="E31" s="102">
        <v>1</v>
      </c>
      <c r="F31" s="102">
        <v>3</v>
      </c>
      <c r="G31" s="102">
        <v>0.08</v>
      </c>
      <c r="H31" s="102">
        <f t="shared" si="0"/>
        <v>0.1</v>
      </c>
      <c r="I31" s="102">
        <f t="shared" si="7"/>
        <v>0.92970000000000008</v>
      </c>
      <c r="J31" s="102">
        <f t="shared" si="8"/>
        <v>18.594000000000001</v>
      </c>
      <c r="K31" s="105">
        <f t="shared" si="9"/>
        <v>15.120012074451928</v>
      </c>
    </row>
    <row r="32" spans="1:11" thickBot="1" x14ac:dyDescent="0.25">
      <c r="A32" s="104" t="s">
        <v>233</v>
      </c>
      <c r="B32" s="102">
        <v>0.4</v>
      </c>
      <c r="C32" s="102">
        <v>9.2799999999999994</v>
      </c>
      <c r="D32" s="102">
        <v>0.9</v>
      </c>
      <c r="E32" s="102">
        <v>1</v>
      </c>
      <c r="F32" s="102">
        <v>2.83</v>
      </c>
      <c r="G32" s="102">
        <v>0.08</v>
      </c>
      <c r="H32" s="102">
        <f t="shared" si="0"/>
        <v>0.1</v>
      </c>
      <c r="I32" s="102">
        <f t="shared" si="7"/>
        <v>0.83520000000000005</v>
      </c>
      <c r="J32" s="102">
        <f t="shared" si="8"/>
        <v>15.99408</v>
      </c>
      <c r="K32" s="105">
        <f t="shared" si="9"/>
        <v>12.873207981695439</v>
      </c>
    </row>
    <row r="33" spans="1:11" ht="15.75" customHeight="1" thickBot="1" x14ac:dyDescent="0.3">
      <c r="A33" s="424" t="s">
        <v>170</v>
      </c>
      <c r="B33" s="257"/>
      <c r="C33" s="257"/>
      <c r="D33" s="257"/>
      <c r="E33" s="257"/>
      <c r="F33" s="257"/>
      <c r="G33" s="257"/>
      <c r="H33" s="425"/>
      <c r="I33" s="99">
        <f>SUM(I9:I32)</f>
        <v>30.043800000000005</v>
      </c>
      <c r="J33" s="99">
        <f>SUM(J9:J32)</f>
        <v>360.19750966650003</v>
      </c>
      <c r="K33" s="106">
        <f>SUM(K9:K32)</f>
        <v>249.88618073009874</v>
      </c>
    </row>
    <row r="34" spans="1:11" ht="15.75" customHeight="1" x14ac:dyDescent="0.2">
      <c r="A34" s="288" t="s">
        <v>137</v>
      </c>
      <c r="B34" s="313"/>
      <c r="C34" s="313"/>
      <c r="D34" s="288" t="s">
        <v>138</v>
      </c>
      <c r="E34" s="313"/>
      <c r="F34" s="289"/>
      <c r="G34" s="364" t="s">
        <v>142</v>
      </c>
      <c r="H34" s="365"/>
      <c r="I34" s="365"/>
      <c r="J34" s="365"/>
      <c r="K34" s="366"/>
    </row>
    <row r="35" spans="1:11" ht="15.75" customHeight="1" thickBot="1" x14ac:dyDescent="0.25">
      <c r="A35" s="290"/>
      <c r="B35" s="314"/>
      <c r="C35" s="314"/>
      <c r="D35" s="290"/>
      <c r="E35" s="314"/>
      <c r="F35" s="291"/>
      <c r="G35" s="367"/>
      <c r="H35" s="368"/>
      <c r="I35" s="368"/>
      <c r="J35" s="368"/>
      <c r="K35" s="369"/>
    </row>
    <row r="36" spans="1:11" ht="15.75" customHeight="1" x14ac:dyDescent="0.2">
      <c r="A36" s="321"/>
      <c r="B36" s="322"/>
      <c r="C36" s="322"/>
      <c r="D36" s="321"/>
      <c r="E36" s="322"/>
      <c r="F36" s="323"/>
      <c r="G36" s="370"/>
      <c r="H36" s="371"/>
      <c r="I36" s="371"/>
      <c r="J36" s="371"/>
      <c r="K36" s="372"/>
    </row>
    <row r="37" spans="1:11" ht="15.75" customHeight="1" x14ac:dyDescent="0.2">
      <c r="A37" s="264"/>
      <c r="B37" s="265"/>
      <c r="C37" s="265"/>
      <c r="D37" s="264"/>
      <c r="E37" s="265"/>
      <c r="F37" s="324"/>
      <c r="G37" s="373"/>
      <c r="H37" s="374"/>
      <c r="I37" s="374"/>
      <c r="J37" s="374"/>
      <c r="K37" s="375"/>
    </row>
    <row r="38" spans="1:11" ht="15.75" customHeight="1" x14ac:dyDescent="0.2">
      <c r="A38" s="318" t="s">
        <v>13</v>
      </c>
      <c r="B38" s="319"/>
      <c r="C38" s="319"/>
      <c r="D38" s="376" t="s">
        <v>140</v>
      </c>
      <c r="E38" s="377"/>
      <c r="F38" s="378"/>
      <c r="G38" s="379"/>
      <c r="H38" s="380"/>
      <c r="I38" s="380"/>
      <c r="J38" s="380"/>
      <c r="K38" s="381"/>
    </row>
    <row r="39" spans="1:11" ht="15.75" customHeight="1" thickBot="1" x14ac:dyDescent="0.25">
      <c r="A39" s="300" t="s">
        <v>14</v>
      </c>
      <c r="B39" s="301"/>
      <c r="C39" s="301"/>
      <c r="D39" s="290" t="s">
        <v>139</v>
      </c>
      <c r="E39" s="314"/>
      <c r="F39" s="291"/>
      <c r="G39" s="382"/>
      <c r="H39" s="383"/>
      <c r="I39" s="383"/>
      <c r="J39" s="383"/>
      <c r="K39" s="384"/>
    </row>
    <row r="40" spans="1:11" ht="15.75" customHeight="1" x14ac:dyDescent="0.2">
      <c r="E40" s="12"/>
    </row>
    <row r="41" spans="1:11" ht="15.75" customHeight="1" x14ac:dyDescent="0.2"/>
    <row r="42" spans="1:11" ht="15.75" customHeight="1" x14ac:dyDescent="0.2"/>
    <row r="43" spans="1:11" ht="15.75" customHeight="1" x14ac:dyDescent="0.2"/>
    <row r="44" spans="1:11" ht="15.75" customHeight="1" x14ac:dyDescent="0.2"/>
    <row r="45" spans="1:11" ht="15.75" customHeight="1" x14ac:dyDescent="0.2"/>
    <row r="46" spans="1:11" ht="15.75" customHeight="1" x14ac:dyDescent="0.2"/>
    <row r="47" spans="1:11" ht="15.75" customHeight="1" x14ac:dyDescent="0.2"/>
    <row r="48" spans="1:11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</sheetData>
  <mergeCells count="30">
    <mergeCell ref="A33:H33"/>
    <mergeCell ref="G37:K37"/>
    <mergeCell ref="A38:C38"/>
    <mergeCell ref="A39:C39"/>
    <mergeCell ref="A36:C37"/>
    <mergeCell ref="G38:K38"/>
    <mergeCell ref="A34:C35"/>
    <mergeCell ref="G39:K39"/>
    <mergeCell ref="G34:K35"/>
    <mergeCell ref="D34:F35"/>
    <mergeCell ref="D38:F38"/>
    <mergeCell ref="D39:F39"/>
    <mergeCell ref="D36:F37"/>
    <mergeCell ref="G36:K36"/>
    <mergeCell ref="K6:K8"/>
    <mergeCell ref="B1:K1"/>
    <mergeCell ref="B2:K2"/>
    <mergeCell ref="B3:K3"/>
    <mergeCell ref="B4:K4"/>
    <mergeCell ref="A5:K5"/>
    <mergeCell ref="G6:G8"/>
    <mergeCell ref="C6:C8"/>
    <mergeCell ref="D6:D8"/>
    <mergeCell ref="E6:E8"/>
    <mergeCell ref="F6:F8"/>
    <mergeCell ref="H6:H8"/>
    <mergeCell ref="I6:I8"/>
    <mergeCell ref="J6:J8"/>
    <mergeCell ref="A6:A8"/>
    <mergeCell ref="B6:B8"/>
  </mergeCells>
  <phoneticPr fontId="15" type="noConversion"/>
  <pageMargins left="0.511811024" right="0.511811024" top="1.0237499999999999" bottom="0.92531249999999998" header="0" footer="0"/>
  <pageSetup paperSize="9" scale="80" fitToHeight="0" orientation="landscape" r:id="rId1"/>
  <headerFooter>
    <oddFooter>&amp;CRua Rui Barbosa, 310 - Centro - Araputanga-MT – Cel: (65) 99613-9294 E-mail: carolina.o.almeida@hotmail.com / escalaprojeta@gmail.com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8"/>
  <sheetViews>
    <sheetView workbookViewId="0">
      <selection activeCell="D18" sqref="D18"/>
    </sheetView>
  </sheetViews>
  <sheetFormatPr defaultColWidth="12.625" defaultRowHeight="15" customHeight="1" x14ac:dyDescent="0.2"/>
  <cols>
    <col min="1" max="1" width="11.875" customWidth="1"/>
    <col min="2" max="2" width="16.75" customWidth="1"/>
    <col min="3" max="3" width="14.625" customWidth="1"/>
    <col min="4" max="4" width="12.5" customWidth="1"/>
    <col min="5" max="5" width="16.5" customWidth="1"/>
    <col min="6" max="7" width="15.875" customWidth="1"/>
    <col min="8" max="8" width="11.625" customWidth="1"/>
    <col min="9" max="9" width="15.5" customWidth="1"/>
    <col min="10" max="10" width="12.125" customWidth="1"/>
    <col min="11" max="11" width="13.875" customWidth="1"/>
    <col min="12" max="12" width="15.875" customWidth="1"/>
    <col min="13" max="24" width="7.625" customWidth="1"/>
  </cols>
  <sheetData>
    <row r="1" spans="1:12" ht="14.25" x14ac:dyDescent="0.2">
      <c r="A1" s="56" t="s">
        <v>0</v>
      </c>
      <c r="B1" s="411" t="str">
        <f>PLANILHA!B1</f>
        <v>Construção de rede de drenagem pluvial</v>
      </c>
      <c r="C1" s="374"/>
      <c r="D1" s="374"/>
      <c r="E1" s="374"/>
      <c r="F1" s="374"/>
      <c r="G1" s="374"/>
      <c r="H1" s="374"/>
      <c r="I1" s="374"/>
      <c r="J1" s="374"/>
      <c r="K1" s="374"/>
      <c r="L1" s="374"/>
    </row>
    <row r="2" spans="1:12" ht="14.25" x14ac:dyDescent="0.2">
      <c r="A2" s="56" t="s">
        <v>1</v>
      </c>
      <c r="B2" s="411" t="str">
        <f>PLANILHA!B2</f>
        <v>Prefeitura Municipal de Indiavaí</v>
      </c>
      <c r="C2" s="374"/>
      <c r="D2" s="374"/>
      <c r="E2" s="374"/>
      <c r="F2" s="374"/>
      <c r="G2" s="374"/>
      <c r="H2" s="374"/>
      <c r="I2" s="374"/>
      <c r="J2" s="374"/>
      <c r="K2" s="374"/>
      <c r="L2" s="374"/>
    </row>
    <row r="3" spans="1:12" ht="14.25" x14ac:dyDescent="0.2">
      <c r="A3" s="56" t="s">
        <v>2</v>
      </c>
      <c r="B3" s="411" t="str">
        <f>PLANILHA!B3</f>
        <v>Avenida Governador Jayme Campos</v>
      </c>
      <c r="C3" s="374"/>
      <c r="D3" s="374"/>
      <c r="E3" s="374"/>
      <c r="F3" s="374"/>
      <c r="G3" s="374"/>
      <c r="H3" s="374"/>
      <c r="I3" s="374"/>
      <c r="J3" s="374"/>
      <c r="K3" s="374"/>
      <c r="L3" s="374"/>
    </row>
    <row r="4" spans="1:12" thickBot="1" x14ac:dyDescent="0.25">
      <c r="A4" s="57" t="s">
        <v>3</v>
      </c>
      <c r="B4" s="412" t="str">
        <f>DESCRIÇÃO!B4</f>
        <v>30 de julho de 2021</v>
      </c>
      <c r="C4" s="413"/>
      <c r="D4" s="413"/>
      <c r="E4" s="413"/>
      <c r="F4" s="413"/>
      <c r="G4" s="413"/>
      <c r="H4" s="413"/>
      <c r="I4" s="413"/>
      <c r="J4" s="413"/>
      <c r="K4" s="413"/>
      <c r="L4" s="413"/>
    </row>
    <row r="5" spans="1:12" x14ac:dyDescent="0.2">
      <c r="A5" s="426" t="s">
        <v>198</v>
      </c>
      <c r="B5" s="427"/>
      <c r="C5" s="427"/>
      <c r="D5" s="427"/>
      <c r="E5" s="427"/>
      <c r="F5" s="427"/>
      <c r="G5" s="427"/>
      <c r="H5" s="427"/>
      <c r="I5" s="427"/>
      <c r="J5" s="427"/>
      <c r="K5" s="427"/>
      <c r="L5" s="428"/>
    </row>
    <row r="6" spans="1:12" ht="15" customHeight="1" x14ac:dyDescent="0.2">
      <c r="A6" s="420" t="s">
        <v>149</v>
      </c>
      <c r="B6" s="420" t="s">
        <v>215</v>
      </c>
      <c r="C6" s="420" t="s">
        <v>153</v>
      </c>
      <c r="D6" s="418" t="s">
        <v>152</v>
      </c>
      <c r="E6" s="418" t="s">
        <v>155</v>
      </c>
      <c r="F6" s="418" t="s">
        <v>156</v>
      </c>
      <c r="G6" s="418" t="s">
        <v>161</v>
      </c>
      <c r="H6" s="418" t="s">
        <v>154</v>
      </c>
      <c r="I6" s="418" t="s">
        <v>157</v>
      </c>
      <c r="J6" s="418" t="s">
        <v>158</v>
      </c>
      <c r="K6" s="418" t="s">
        <v>159</v>
      </c>
      <c r="L6" s="418" t="s">
        <v>160</v>
      </c>
    </row>
    <row r="7" spans="1:12" ht="14.25" x14ac:dyDescent="0.2">
      <c r="A7" s="423"/>
      <c r="B7" s="423"/>
      <c r="C7" s="420"/>
      <c r="D7" s="418"/>
      <c r="E7" s="418"/>
      <c r="F7" s="418"/>
      <c r="G7" s="418"/>
      <c r="H7" s="418"/>
      <c r="I7" s="418"/>
      <c r="J7" s="418"/>
      <c r="K7" s="418"/>
      <c r="L7" s="418"/>
    </row>
    <row r="8" spans="1:12" ht="36.75" customHeight="1" x14ac:dyDescent="0.2">
      <c r="A8" s="423"/>
      <c r="B8" s="423"/>
      <c r="C8" s="420"/>
      <c r="D8" s="418"/>
      <c r="E8" s="418"/>
      <c r="F8" s="418"/>
      <c r="G8" s="418"/>
      <c r="H8" s="418"/>
      <c r="I8" s="418"/>
      <c r="J8" s="418"/>
      <c r="K8" s="418"/>
      <c r="L8" s="418"/>
    </row>
    <row r="9" spans="1:12" ht="14.25" x14ac:dyDescent="0.2">
      <c r="A9" s="101" t="s">
        <v>150</v>
      </c>
      <c r="B9" s="102">
        <v>0.6</v>
      </c>
      <c r="C9" s="102">
        <v>88</v>
      </c>
      <c r="D9" s="102">
        <v>1</v>
      </c>
      <c r="E9" s="102">
        <v>1.8</v>
      </c>
      <c r="F9" s="102">
        <v>1.96</v>
      </c>
      <c r="G9" s="102">
        <v>0.06</v>
      </c>
      <c r="H9" s="102">
        <f>0.1</f>
        <v>0.1</v>
      </c>
      <c r="I9" s="102">
        <f>(C9*D9)*H9</f>
        <v>8.8000000000000007</v>
      </c>
      <c r="J9" s="102">
        <f>(C9*D9)*((E9+F9)/2)</f>
        <v>165.44</v>
      </c>
      <c r="K9" s="102">
        <f>(C9*D9)*((E9+F9)/2)-(((PI()*(((B9+(G9*2))/2)^2))*C9)+(H9*C9*D9))</f>
        <v>120.81076410433913</v>
      </c>
      <c r="L9" s="102">
        <f>C9*((E9+F9)/2)</f>
        <v>165.44</v>
      </c>
    </row>
    <row r="10" spans="1:12" ht="14.25" x14ac:dyDescent="0.2">
      <c r="A10" s="101" t="s">
        <v>162</v>
      </c>
      <c r="B10" s="102">
        <v>0.6</v>
      </c>
      <c r="C10" s="102">
        <v>110</v>
      </c>
      <c r="D10" s="102">
        <v>1</v>
      </c>
      <c r="E10" s="102">
        <v>1.96</v>
      </c>
      <c r="F10" s="102">
        <v>2.2000000000000002</v>
      </c>
      <c r="G10" s="102">
        <v>0.06</v>
      </c>
      <c r="H10" s="102">
        <f t="shared" ref="H10:H18" si="0">0.1</f>
        <v>0.1</v>
      </c>
      <c r="I10" s="102">
        <f t="shared" ref="I10:I17" si="1">(C10*D10)*H10</f>
        <v>11</v>
      </c>
      <c r="J10" s="102">
        <f t="shared" ref="J10:J17" si="2">(C10*D10)*((E10+F10)/2)</f>
        <v>228.8</v>
      </c>
      <c r="K10" s="102">
        <f t="shared" ref="K10:K17" si="3">(C10*D10)*((E10+F10)/2)-(((PI()*(((B10+(G10*2))/2)^2))*C10)+(H10*C10*D10))</f>
        <v>173.01345513042392</v>
      </c>
      <c r="L10" s="102">
        <f t="shared" ref="L10:L17" si="4">C10*((E10+F10)/2)</f>
        <v>228.8</v>
      </c>
    </row>
    <row r="11" spans="1:12" ht="14.25" x14ac:dyDescent="0.2">
      <c r="A11" s="101" t="s">
        <v>163</v>
      </c>
      <c r="B11" s="102">
        <v>0.8</v>
      </c>
      <c r="C11" s="102">
        <v>110</v>
      </c>
      <c r="D11" s="102">
        <v>1.3</v>
      </c>
      <c r="E11" s="102">
        <v>2.2000000000000002</v>
      </c>
      <c r="F11" s="102">
        <v>4.18</v>
      </c>
      <c r="G11" s="102">
        <v>7.0000000000000007E-2</v>
      </c>
      <c r="H11" s="102">
        <f t="shared" si="0"/>
        <v>0.1</v>
      </c>
      <c r="I11" s="102">
        <f t="shared" si="1"/>
        <v>14.3</v>
      </c>
      <c r="J11" s="102">
        <f t="shared" si="2"/>
        <v>456.17</v>
      </c>
      <c r="K11" s="102">
        <f t="shared" si="3"/>
        <v>365.53244011042159</v>
      </c>
      <c r="L11" s="102">
        <f t="shared" si="4"/>
        <v>350.9</v>
      </c>
    </row>
    <row r="12" spans="1:12" ht="14.25" x14ac:dyDescent="0.2">
      <c r="A12" s="101" t="s">
        <v>164</v>
      </c>
      <c r="B12" s="102">
        <v>0.8</v>
      </c>
      <c r="C12" s="102">
        <v>110</v>
      </c>
      <c r="D12" s="102">
        <v>1.3</v>
      </c>
      <c r="E12" s="102">
        <v>4.18</v>
      </c>
      <c r="F12" s="102">
        <v>2.91</v>
      </c>
      <c r="G12" s="102">
        <v>7.0000000000000007E-2</v>
      </c>
      <c r="H12" s="102">
        <f t="shared" si="0"/>
        <v>0.1</v>
      </c>
      <c r="I12" s="102">
        <f t="shared" si="1"/>
        <v>14.3</v>
      </c>
      <c r="J12" s="102">
        <f t="shared" si="2"/>
        <v>506.935</v>
      </c>
      <c r="K12" s="102">
        <f t="shared" si="3"/>
        <v>416.29744011042158</v>
      </c>
      <c r="L12" s="102">
        <f t="shared" si="4"/>
        <v>389.95</v>
      </c>
    </row>
    <row r="13" spans="1:12" ht="14.25" x14ac:dyDescent="0.2">
      <c r="A13" s="101" t="s">
        <v>165</v>
      </c>
      <c r="B13" s="102">
        <v>0.8</v>
      </c>
      <c r="C13" s="102">
        <v>110</v>
      </c>
      <c r="D13" s="102">
        <v>1.3</v>
      </c>
      <c r="E13" s="102">
        <v>2.91</v>
      </c>
      <c r="F13" s="102">
        <v>2.2999999999999998</v>
      </c>
      <c r="G13" s="102">
        <v>7.0000000000000007E-2</v>
      </c>
      <c r="H13" s="102">
        <f t="shared" si="0"/>
        <v>0.1</v>
      </c>
      <c r="I13" s="102">
        <f t="shared" si="1"/>
        <v>14.3</v>
      </c>
      <c r="J13" s="102">
        <f t="shared" si="2"/>
        <v>372.51499999999999</v>
      </c>
      <c r="K13" s="102">
        <f t="shared" si="3"/>
        <v>281.87744011042162</v>
      </c>
      <c r="L13" s="102">
        <f t="shared" si="4"/>
        <v>286.55</v>
      </c>
    </row>
    <row r="14" spans="1:12" ht="14.25" x14ac:dyDescent="0.2">
      <c r="A14" s="101" t="s">
        <v>166</v>
      </c>
      <c r="B14" s="102">
        <v>0.8</v>
      </c>
      <c r="C14" s="102">
        <v>110</v>
      </c>
      <c r="D14" s="102">
        <v>1.3</v>
      </c>
      <c r="E14" s="102">
        <v>2.2999999999999998</v>
      </c>
      <c r="F14" s="102">
        <v>2.2999999999999998</v>
      </c>
      <c r="G14" s="102">
        <v>7.0000000000000007E-2</v>
      </c>
      <c r="H14" s="102">
        <f t="shared" si="0"/>
        <v>0.1</v>
      </c>
      <c r="I14" s="102">
        <f t="shared" si="1"/>
        <v>14.3</v>
      </c>
      <c r="J14" s="102">
        <f t="shared" si="2"/>
        <v>328.9</v>
      </c>
      <c r="K14" s="102">
        <f t="shared" si="3"/>
        <v>238.26244011042158</v>
      </c>
      <c r="L14" s="102">
        <f t="shared" si="4"/>
        <v>252.99999999999997</v>
      </c>
    </row>
    <row r="15" spans="1:12" ht="14.25" x14ac:dyDescent="0.2">
      <c r="A15" s="101" t="s">
        <v>167</v>
      </c>
      <c r="B15" s="102">
        <v>0.8</v>
      </c>
      <c r="C15" s="102">
        <v>78</v>
      </c>
      <c r="D15" s="102">
        <v>1.3</v>
      </c>
      <c r="E15" s="102">
        <v>2.2999999999999998</v>
      </c>
      <c r="F15" s="102">
        <v>2.33</v>
      </c>
      <c r="G15" s="102">
        <v>7.0000000000000007E-2</v>
      </c>
      <c r="H15" s="102">
        <f t="shared" si="0"/>
        <v>0.1</v>
      </c>
      <c r="I15" s="102">
        <f t="shared" si="1"/>
        <v>10.14</v>
      </c>
      <c r="J15" s="102">
        <f t="shared" si="2"/>
        <v>234.74100000000001</v>
      </c>
      <c r="K15" s="102">
        <f t="shared" si="3"/>
        <v>170.47073026011714</v>
      </c>
      <c r="L15" s="102">
        <f t="shared" si="4"/>
        <v>180.57</v>
      </c>
    </row>
    <row r="16" spans="1:12" ht="14.25" x14ac:dyDescent="0.2">
      <c r="A16" s="101" t="s">
        <v>168</v>
      </c>
      <c r="B16" s="102">
        <v>0.8</v>
      </c>
      <c r="C16" s="102">
        <v>89</v>
      </c>
      <c r="D16" s="102">
        <v>1.3</v>
      </c>
      <c r="E16" s="102">
        <v>2.33</v>
      </c>
      <c r="F16" s="102">
        <v>2.2999999999999998</v>
      </c>
      <c r="G16" s="102">
        <v>7.0000000000000007E-2</v>
      </c>
      <c r="H16" s="102">
        <f t="shared" si="0"/>
        <v>0.1</v>
      </c>
      <c r="I16" s="102">
        <f t="shared" si="1"/>
        <v>11.57</v>
      </c>
      <c r="J16" s="102">
        <f t="shared" si="2"/>
        <v>267.84550000000002</v>
      </c>
      <c r="K16" s="102">
        <f t="shared" si="3"/>
        <v>194.5114742711593</v>
      </c>
      <c r="L16" s="102">
        <f t="shared" si="4"/>
        <v>206.035</v>
      </c>
    </row>
    <row r="17" spans="1:12" ht="14.25" x14ac:dyDescent="0.2">
      <c r="A17" s="101" t="s">
        <v>169</v>
      </c>
      <c r="B17" s="102">
        <v>0.8</v>
      </c>
      <c r="C17" s="102">
        <v>23</v>
      </c>
      <c r="D17" s="102">
        <v>1.3</v>
      </c>
      <c r="E17" s="102">
        <v>2.2999999999999998</v>
      </c>
      <c r="F17" s="102">
        <v>2.2999999999999998</v>
      </c>
      <c r="G17" s="102">
        <v>7.0000000000000007E-2</v>
      </c>
      <c r="H17" s="102">
        <f t="shared" si="0"/>
        <v>0.1</v>
      </c>
      <c r="I17" s="102">
        <f t="shared" si="1"/>
        <v>2.99</v>
      </c>
      <c r="J17" s="102">
        <f t="shared" si="2"/>
        <v>68.77</v>
      </c>
      <c r="K17" s="102">
        <f t="shared" si="3"/>
        <v>49.818510204906332</v>
      </c>
      <c r="L17" s="102">
        <f t="shared" si="4"/>
        <v>52.9</v>
      </c>
    </row>
    <row r="18" spans="1:12" thickBot="1" x14ac:dyDescent="0.25">
      <c r="A18" s="101" t="s">
        <v>216</v>
      </c>
      <c r="B18" s="102">
        <v>1</v>
      </c>
      <c r="C18" s="102">
        <v>79</v>
      </c>
      <c r="D18" s="102">
        <v>1.5</v>
      </c>
      <c r="E18" s="102">
        <v>2.2999999999999998</v>
      </c>
      <c r="F18" s="102">
        <v>2.2999999999999998</v>
      </c>
      <c r="G18" s="102">
        <v>0.1</v>
      </c>
      <c r="H18" s="102">
        <f t="shared" si="0"/>
        <v>0.1</v>
      </c>
      <c r="I18" s="102">
        <f>(C18*D18)*H18</f>
        <v>11.850000000000001</v>
      </c>
      <c r="J18" s="102">
        <f>(C18*D18)*((E18+F18)/2)</f>
        <v>272.54999999999995</v>
      </c>
      <c r="K18" s="102">
        <f>(C18*D18)*((E18+F18)/2)-(((PI()*(((B18+(G18*2))/2)^2))*C18)+(H18*C18*D18))</f>
        <v>171.35310493190624</v>
      </c>
      <c r="L18" s="102">
        <f>C18*((E18+F18)/2)</f>
        <v>181.7</v>
      </c>
    </row>
    <row r="19" spans="1:12" ht="15.75" customHeight="1" thickBot="1" x14ac:dyDescent="0.3">
      <c r="A19" s="429" t="s">
        <v>170</v>
      </c>
      <c r="B19" s="257"/>
      <c r="C19" s="257"/>
      <c r="D19" s="257"/>
      <c r="E19" s="257"/>
      <c r="F19" s="257"/>
      <c r="G19" s="257"/>
      <c r="H19" s="425"/>
      <c r="I19" s="99">
        <f>SUM(I9:I17)</f>
        <v>101.7</v>
      </c>
      <c r="J19" s="99">
        <f>SUM(J9:J17)</f>
        <v>2630.1165000000001</v>
      </c>
      <c r="K19" s="99">
        <f>SUM(K9:K17)</f>
        <v>2010.594694412632</v>
      </c>
      <c r="L19" s="99">
        <f>SUM(L9:L17)</f>
        <v>2114.145</v>
      </c>
    </row>
    <row r="20" spans="1:12" ht="15.75" customHeight="1" x14ac:dyDescent="0.2">
      <c r="A20" s="288" t="s">
        <v>137</v>
      </c>
      <c r="B20" s="313"/>
      <c r="C20" s="313"/>
      <c r="D20" s="288" t="s">
        <v>138</v>
      </c>
      <c r="E20" s="313"/>
      <c r="F20" s="289"/>
      <c r="G20" s="364" t="s">
        <v>142</v>
      </c>
      <c r="H20" s="365"/>
      <c r="I20" s="365"/>
      <c r="J20" s="365"/>
      <c r="K20" s="365"/>
      <c r="L20" s="366"/>
    </row>
    <row r="21" spans="1:12" ht="15.75" customHeight="1" thickBot="1" x14ac:dyDescent="0.25">
      <c r="A21" s="290"/>
      <c r="B21" s="314"/>
      <c r="C21" s="314"/>
      <c r="D21" s="290"/>
      <c r="E21" s="314"/>
      <c r="F21" s="291"/>
      <c r="G21" s="367"/>
      <c r="H21" s="368"/>
      <c r="I21" s="368"/>
      <c r="J21" s="368"/>
      <c r="K21" s="368"/>
      <c r="L21" s="369"/>
    </row>
    <row r="22" spans="1:12" ht="15.75" customHeight="1" x14ac:dyDescent="0.2">
      <c r="A22" s="321"/>
      <c r="B22" s="322"/>
      <c r="C22" s="322"/>
      <c r="D22" s="321"/>
      <c r="E22" s="322"/>
      <c r="F22" s="323"/>
      <c r="G22" s="370"/>
      <c r="H22" s="371"/>
      <c r="I22" s="371"/>
      <c r="J22" s="371"/>
      <c r="K22" s="371"/>
      <c r="L22" s="372"/>
    </row>
    <row r="23" spans="1:12" ht="15.75" customHeight="1" x14ac:dyDescent="0.2">
      <c r="A23" s="264"/>
      <c r="B23" s="265"/>
      <c r="C23" s="265"/>
      <c r="D23" s="264"/>
      <c r="E23" s="265"/>
      <c r="F23" s="324"/>
      <c r="G23" s="373"/>
      <c r="H23" s="374"/>
      <c r="I23" s="374"/>
      <c r="J23" s="374"/>
      <c r="K23" s="374"/>
      <c r="L23" s="375"/>
    </row>
    <row r="24" spans="1:12" ht="15.75" customHeight="1" x14ac:dyDescent="0.2">
      <c r="A24" s="318" t="s">
        <v>13</v>
      </c>
      <c r="B24" s="319"/>
      <c r="C24" s="319"/>
      <c r="D24" s="376" t="s">
        <v>140</v>
      </c>
      <c r="E24" s="377"/>
      <c r="F24" s="378"/>
      <c r="G24" s="379"/>
      <c r="H24" s="380"/>
      <c r="I24" s="380"/>
      <c r="J24" s="380"/>
      <c r="K24" s="380"/>
      <c r="L24" s="381"/>
    </row>
    <row r="25" spans="1:12" ht="15.75" customHeight="1" thickBot="1" x14ac:dyDescent="0.25">
      <c r="A25" s="300" t="s">
        <v>14</v>
      </c>
      <c r="B25" s="301"/>
      <c r="C25" s="301"/>
      <c r="D25" s="290" t="s">
        <v>139</v>
      </c>
      <c r="E25" s="314"/>
      <c r="F25" s="291"/>
      <c r="G25" s="382"/>
      <c r="H25" s="383"/>
      <c r="I25" s="383"/>
      <c r="J25" s="383"/>
      <c r="K25" s="383"/>
      <c r="L25" s="384"/>
    </row>
    <row r="26" spans="1:12" ht="15.75" customHeight="1" x14ac:dyDescent="0.2">
      <c r="E26" s="12"/>
    </row>
    <row r="27" spans="1:12" ht="15.75" customHeight="1" x14ac:dyDescent="0.2"/>
    <row r="28" spans="1:12" ht="15.75" customHeight="1" x14ac:dyDescent="0.2"/>
    <row r="29" spans="1:12" ht="15.75" customHeight="1" x14ac:dyDescent="0.2"/>
    <row r="30" spans="1:12" ht="15.75" customHeight="1" x14ac:dyDescent="0.2"/>
    <row r="31" spans="1:12" ht="15.75" customHeight="1" x14ac:dyDescent="0.2"/>
    <row r="32" spans="1:1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31">
    <mergeCell ref="L6:L8"/>
    <mergeCell ref="A25:C25"/>
    <mergeCell ref="D25:F25"/>
    <mergeCell ref="G25:L25"/>
    <mergeCell ref="A19:H19"/>
    <mergeCell ref="A20:C21"/>
    <mergeCell ref="D20:F21"/>
    <mergeCell ref="G20:L21"/>
    <mergeCell ref="A24:C24"/>
    <mergeCell ref="D24:F24"/>
    <mergeCell ref="G24:L24"/>
    <mergeCell ref="A22:C23"/>
    <mergeCell ref="D22:F23"/>
    <mergeCell ref="G22:L22"/>
    <mergeCell ref="G23:L23"/>
    <mergeCell ref="K6:K8"/>
    <mergeCell ref="B1:L1"/>
    <mergeCell ref="B2:L2"/>
    <mergeCell ref="B3:L3"/>
    <mergeCell ref="B4:L4"/>
    <mergeCell ref="A5:L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</mergeCells>
  <pageMargins left="0.511811024" right="0.511811024" top="1.0237499999999999" bottom="0.92531249999999998" header="0" footer="0"/>
  <pageSetup paperSize="9" scale="71" fitToHeight="0" orientation="landscape" r:id="rId1"/>
  <headerFooter>
    <oddFooter>&amp;CRua Rui Barbosa, 310 - Centro - Araputanga-MT – Cel: (65) 99613-9294 E-mail: carolina.o.almeida@hotmail.com / escalaprojeta@gmail.com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Normal="100" zoomScaleSheetLayoutView="100" workbookViewId="0">
      <selection activeCell="H29" sqref="H29:M30"/>
    </sheetView>
  </sheetViews>
  <sheetFormatPr defaultRowHeight="14.25" x14ac:dyDescent="0.2"/>
  <cols>
    <col min="1" max="1" width="11.875" customWidth="1"/>
    <col min="2" max="3" width="16.75" customWidth="1"/>
    <col min="4" max="4" width="14.125" customWidth="1"/>
    <col min="5" max="5" width="11.125" customWidth="1"/>
    <col min="6" max="6" width="9.75" customWidth="1"/>
    <col min="7" max="7" width="14" customWidth="1"/>
    <col min="8" max="9" width="12.25" customWidth="1"/>
    <col min="10" max="10" width="14.125" customWidth="1"/>
    <col min="11" max="11" width="14.375" customWidth="1"/>
    <col min="12" max="12" width="15" customWidth="1"/>
    <col min="13" max="13" width="14.125" customWidth="1"/>
  </cols>
  <sheetData>
    <row r="1" spans="1:13" x14ac:dyDescent="0.2">
      <c r="A1" s="175" t="s">
        <v>0</v>
      </c>
      <c r="B1" s="430" t="str">
        <f>PLANILHA!B1</f>
        <v>Construção de rede de drenagem pluvial</v>
      </c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</row>
    <row r="2" spans="1:13" x14ac:dyDescent="0.2">
      <c r="A2" s="175" t="s">
        <v>1</v>
      </c>
      <c r="B2" s="430" t="str">
        <f>PLANILHA!B2</f>
        <v>Prefeitura Municipal de Indiavaí</v>
      </c>
      <c r="C2" s="430"/>
      <c r="D2" s="430"/>
      <c r="E2" s="430"/>
      <c r="F2" s="430"/>
      <c r="G2" s="430"/>
      <c r="H2" s="430"/>
      <c r="I2" s="430"/>
      <c r="J2" s="430"/>
      <c r="K2" s="430"/>
      <c r="L2" s="430"/>
      <c r="M2" s="430"/>
    </row>
    <row r="3" spans="1:13" x14ac:dyDescent="0.2">
      <c r="A3" s="175" t="s">
        <v>2</v>
      </c>
      <c r="B3" s="430" t="str">
        <f>PLANILHA!B3</f>
        <v>Avenida Governador Jayme Campos</v>
      </c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</row>
    <row r="4" spans="1:13" ht="15" thickBot="1" x14ac:dyDescent="0.25">
      <c r="A4" s="178" t="s">
        <v>3</v>
      </c>
      <c r="B4" s="431" t="str">
        <f>DESCRIÇÃO!B4</f>
        <v>30 de julho de 2021</v>
      </c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</row>
    <row r="5" spans="1:13" ht="15.75" thickBot="1" x14ac:dyDescent="0.25">
      <c r="A5" s="414" t="s">
        <v>267</v>
      </c>
      <c r="B5" s="415"/>
      <c r="C5" s="415"/>
      <c r="D5" s="415"/>
      <c r="E5" s="415"/>
      <c r="F5" s="415"/>
      <c r="G5" s="415"/>
      <c r="H5" s="415"/>
      <c r="I5" s="415"/>
      <c r="J5" s="415"/>
      <c r="K5" s="415"/>
      <c r="L5" s="415"/>
      <c r="M5" s="416"/>
    </row>
    <row r="6" spans="1:13" ht="15" customHeight="1" x14ac:dyDescent="0.2">
      <c r="A6" s="421" t="s">
        <v>149</v>
      </c>
      <c r="B6" s="432" t="s">
        <v>239</v>
      </c>
      <c r="C6" s="433" t="s">
        <v>153</v>
      </c>
      <c r="D6" s="417" t="s">
        <v>236</v>
      </c>
      <c r="E6" s="417" t="s">
        <v>237</v>
      </c>
      <c r="F6" s="417" t="s">
        <v>238</v>
      </c>
      <c r="G6" s="417" t="s">
        <v>255</v>
      </c>
      <c r="H6" s="417" t="s">
        <v>256</v>
      </c>
      <c r="I6" s="417" t="s">
        <v>261</v>
      </c>
      <c r="J6" s="417" t="s">
        <v>262</v>
      </c>
      <c r="K6" s="417" t="s">
        <v>263</v>
      </c>
      <c r="L6" s="409" t="s">
        <v>264</v>
      </c>
      <c r="M6" s="409" t="s">
        <v>265</v>
      </c>
    </row>
    <row r="7" spans="1:13" ht="15" customHeight="1" x14ac:dyDescent="0.2">
      <c r="A7" s="422"/>
      <c r="B7" s="432"/>
      <c r="C7" s="433"/>
      <c r="D7" s="418"/>
      <c r="E7" s="418"/>
      <c r="F7" s="418"/>
      <c r="G7" s="418"/>
      <c r="H7" s="418"/>
      <c r="I7" s="418"/>
      <c r="J7" s="418"/>
      <c r="K7" s="418"/>
      <c r="L7" s="410"/>
      <c r="M7" s="410"/>
    </row>
    <row r="8" spans="1:13" ht="34.5" customHeight="1" x14ac:dyDescent="0.2">
      <c r="A8" s="422"/>
      <c r="B8" s="417"/>
      <c r="C8" s="419"/>
      <c r="D8" s="418"/>
      <c r="E8" s="418"/>
      <c r="F8" s="418"/>
      <c r="G8" s="418"/>
      <c r="H8" s="418"/>
      <c r="I8" s="418"/>
      <c r="J8" s="418"/>
      <c r="K8" s="418"/>
      <c r="L8" s="410"/>
      <c r="M8" s="410"/>
    </row>
    <row r="9" spans="1:13" x14ac:dyDescent="0.2">
      <c r="A9" s="104" t="s">
        <v>150</v>
      </c>
      <c r="B9" s="102">
        <v>0.25540000000000002</v>
      </c>
      <c r="C9" s="102">
        <v>88</v>
      </c>
      <c r="D9" s="102">
        <v>200.82</v>
      </c>
      <c r="E9" s="102">
        <v>199</v>
      </c>
      <c r="F9" s="161">
        <f t="shared" ref="F9:F18" si="0">(D9-E9)/C9</f>
        <v>2.0681818181818103E-2</v>
      </c>
      <c r="G9" s="162">
        <f t="shared" ref="G9:G18" si="1">(B9*0.01*$C$21*$C$22)/3.6</f>
        <v>4.4517638888888898E-2</v>
      </c>
      <c r="H9" s="162">
        <f>(B9*0.01*C22*C21)/3.6</f>
        <v>4.4517638888888898E-2</v>
      </c>
      <c r="I9" s="102">
        <f>1.55*((($C$23*H9)/(F9^(1/2)))^(3/8))</f>
        <v>0.19592376457067986</v>
      </c>
      <c r="J9" s="102">
        <v>0.6</v>
      </c>
      <c r="K9" s="161" t="str">
        <f>IF('CAL VERIFICAÇÕES'!Q9="OK","OK","NÃO OK")</f>
        <v>OK</v>
      </c>
      <c r="L9" s="105" t="s">
        <v>266</v>
      </c>
      <c r="M9" s="163" t="s">
        <v>266</v>
      </c>
    </row>
    <row r="10" spans="1:13" x14ac:dyDescent="0.2">
      <c r="A10" s="104" t="s">
        <v>162</v>
      </c>
      <c r="B10" s="102">
        <v>1.2270000000000001</v>
      </c>
      <c r="C10" s="102">
        <v>110</v>
      </c>
      <c r="D10" s="102">
        <v>199</v>
      </c>
      <c r="E10" s="102">
        <v>196.56</v>
      </c>
      <c r="F10" s="161">
        <f t="shared" si="0"/>
        <v>2.218181818181816E-2</v>
      </c>
      <c r="G10" s="162">
        <f t="shared" si="1"/>
        <v>0.21387291666666669</v>
      </c>
      <c r="H10" s="162">
        <f t="shared" ref="H10:H18" si="2">G10+H9</f>
        <v>0.25839055555555557</v>
      </c>
      <c r="I10" s="102">
        <f t="shared" ref="I10:I18" si="3">1.55*((($C$23*H10)/(F10^(1/2)))^(3/8))</f>
        <v>0.37392950076434761</v>
      </c>
      <c r="J10" s="102">
        <v>0.6</v>
      </c>
      <c r="K10" s="161" t="str">
        <f>IF('CAL VERIFICAÇÕES'!Q10="OK","OK","NÃO OK")</f>
        <v>OK</v>
      </c>
      <c r="L10" s="105" t="s">
        <v>266</v>
      </c>
      <c r="M10" s="163" t="s">
        <v>266</v>
      </c>
    </row>
    <row r="11" spans="1:13" x14ac:dyDescent="0.2">
      <c r="A11" s="104" t="s">
        <v>163</v>
      </c>
      <c r="B11" s="102">
        <v>1.2365999999999999</v>
      </c>
      <c r="C11" s="102">
        <v>110</v>
      </c>
      <c r="D11" s="102">
        <v>196.56</v>
      </c>
      <c r="E11" s="102">
        <v>196.01</v>
      </c>
      <c r="F11" s="161">
        <f t="shared" si="0"/>
        <v>5.0000000000001033E-3</v>
      </c>
      <c r="G11" s="162">
        <f t="shared" si="1"/>
        <v>0.21554624999999999</v>
      </c>
      <c r="H11" s="162">
        <f t="shared" si="2"/>
        <v>0.47393680555555556</v>
      </c>
      <c r="I11" s="102">
        <f t="shared" si="3"/>
        <v>0.62072429419594521</v>
      </c>
      <c r="J11" s="102">
        <v>0.8</v>
      </c>
      <c r="K11" s="161" t="str">
        <f>IF('CAL VERIFICAÇÕES'!Q11="OK","OK","NÃO OK")</f>
        <v>OK</v>
      </c>
      <c r="L11" s="105" t="s">
        <v>266</v>
      </c>
      <c r="M11" s="163" t="s">
        <v>266</v>
      </c>
    </row>
    <row r="12" spans="1:13" x14ac:dyDescent="0.2">
      <c r="A12" s="104" t="s">
        <v>164</v>
      </c>
      <c r="B12" s="102">
        <v>0.80830000000000002</v>
      </c>
      <c r="C12" s="102">
        <v>110</v>
      </c>
      <c r="D12" s="102">
        <v>196.01</v>
      </c>
      <c r="E12" s="102">
        <v>195.46</v>
      </c>
      <c r="F12" s="161">
        <f t="shared" si="0"/>
        <v>4.9999999999998448E-3</v>
      </c>
      <c r="G12" s="162">
        <f t="shared" si="1"/>
        <v>0.14089118055555555</v>
      </c>
      <c r="H12" s="162">
        <f t="shared" si="2"/>
        <v>0.61482798611111111</v>
      </c>
      <c r="I12" s="102">
        <f t="shared" si="3"/>
        <v>0.68436247754846258</v>
      </c>
      <c r="J12" s="102">
        <v>0.8</v>
      </c>
      <c r="K12" s="161" t="str">
        <f>IF('CAL VERIFICAÇÕES'!Q12="OK","OK","NÃO OK")</f>
        <v>OK</v>
      </c>
      <c r="L12" s="105" t="s">
        <v>266</v>
      </c>
      <c r="M12" s="163" t="s">
        <v>266</v>
      </c>
    </row>
    <row r="13" spans="1:13" x14ac:dyDescent="0.2">
      <c r="A13" s="104" t="s">
        <v>165</v>
      </c>
      <c r="B13" s="102">
        <v>1.2438</v>
      </c>
      <c r="C13" s="102">
        <v>110</v>
      </c>
      <c r="D13" s="102">
        <v>195.46</v>
      </c>
      <c r="E13" s="102">
        <v>193.74</v>
      </c>
      <c r="F13" s="161">
        <f t="shared" si="0"/>
        <v>1.5636363636363625E-2</v>
      </c>
      <c r="G13" s="162">
        <f t="shared" si="1"/>
        <v>0.21680125</v>
      </c>
      <c r="H13" s="162">
        <f t="shared" si="2"/>
        <v>0.83162923611111106</v>
      </c>
      <c r="I13" s="102">
        <f t="shared" si="3"/>
        <v>0.61891877274094931</v>
      </c>
      <c r="J13" s="102">
        <v>0.8</v>
      </c>
      <c r="K13" s="161" t="str">
        <f>IF('CAL VERIFICAÇÕES'!Q13="OK","OK","NÃO OK")</f>
        <v>OK</v>
      </c>
      <c r="L13" s="105" t="s">
        <v>266</v>
      </c>
      <c r="M13" s="163" t="s">
        <v>266</v>
      </c>
    </row>
    <row r="14" spans="1:13" x14ac:dyDescent="0.2">
      <c r="A14" s="104" t="s">
        <v>166</v>
      </c>
      <c r="B14" s="102">
        <v>1.18</v>
      </c>
      <c r="C14" s="102">
        <v>110</v>
      </c>
      <c r="D14" s="102">
        <v>193.74</v>
      </c>
      <c r="E14" s="102">
        <v>190.63</v>
      </c>
      <c r="F14" s="161">
        <f t="shared" si="0"/>
        <v>2.8272727272727397E-2</v>
      </c>
      <c r="G14" s="162">
        <f t="shared" si="1"/>
        <v>0.20568055555555553</v>
      </c>
      <c r="H14" s="162">
        <f t="shared" si="2"/>
        <v>1.0373097916666665</v>
      </c>
      <c r="I14" s="102">
        <f t="shared" si="3"/>
        <v>0.60172033669664005</v>
      </c>
      <c r="J14" s="102">
        <v>0.8</v>
      </c>
      <c r="K14" s="161" t="str">
        <f>IF('CAL VERIFICAÇÕES'!Q14="OK","OK","NÃO OK")</f>
        <v>OK</v>
      </c>
      <c r="L14" s="105" t="s">
        <v>266</v>
      </c>
      <c r="M14" s="163" t="s">
        <v>266</v>
      </c>
    </row>
    <row r="15" spans="1:13" x14ac:dyDescent="0.2">
      <c r="A15" s="104" t="s">
        <v>167</v>
      </c>
      <c r="B15" s="102">
        <v>0.74360000000000004</v>
      </c>
      <c r="C15" s="102">
        <v>78</v>
      </c>
      <c r="D15" s="102">
        <v>190.63</v>
      </c>
      <c r="E15" s="102">
        <v>188.71</v>
      </c>
      <c r="F15" s="161">
        <f t="shared" si="0"/>
        <v>2.4615384615384456E-2</v>
      </c>
      <c r="G15" s="162">
        <f t="shared" si="1"/>
        <v>0.12961361111111111</v>
      </c>
      <c r="H15" s="162">
        <f t="shared" si="2"/>
        <v>1.1669234027777775</v>
      </c>
      <c r="I15" s="102">
        <f t="shared" si="3"/>
        <v>0.64543140626703821</v>
      </c>
      <c r="J15" s="102">
        <v>0.8</v>
      </c>
      <c r="K15" s="161" t="str">
        <f>IF('CAL VERIFICAÇÕES'!Q15="OK","OK","NÃO OK")</f>
        <v>OK</v>
      </c>
      <c r="L15" s="105" t="s">
        <v>266</v>
      </c>
      <c r="M15" s="163" t="s">
        <v>266</v>
      </c>
    </row>
    <row r="16" spans="1:13" x14ac:dyDescent="0.2">
      <c r="A16" s="104" t="s">
        <v>168</v>
      </c>
      <c r="B16" s="102">
        <v>1.2844</v>
      </c>
      <c r="C16" s="102">
        <v>89</v>
      </c>
      <c r="D16" s="102">
        <v>188.71</v>
      </c>
      <c r="E16" s="102">
        <v>186.06</v>
      </c>
      <c r="F16" s="161">
        <f t="shared" si="0"/>
        <v>2.9775280898876468E-2</v>
      </c>
      <c r="G16" s="162">
        <f t="shared" si="1"/>
        <v>0.22387805555555554</v>
      </c>
      <c r="H16" s="162">
        <f t="shared" si="2"/>
        <v>1.390801458333333</v>
      </c>
      <c r="I16" s="102">
        <f t="shared" si="3"/>
        <v>0.66517651385896737</v>
      </c>
      <c r="J16" s="102">
        <v>0.8</v>
      </c>
      <c r="K16" s="161" t="str">
        <f>IF('CAL VERIFICAÇÕES'!Q16="OK","OK","NÃO OK")</f>
        <v>OK</v>
      </c>
      <c r="L16" s="105" t="s">
        <v>266</v>
      </c>
      <c r="M16" s="163" t="s">
        <v>266</v>
      </c>
    </row>
    <row r="17" spans="1:13" x14ac:dyDescent="0.2">
      <c r="A17" s="104" t="s">
        <v>169</v>
      </c>
      <c r="B17" s="102">
        <v>1.2844</v>
      </c>
      <c r="C17" s="102">
        <v>23</v>
      </c>
      <c r="D17" s="102">
        <v>186.06</v>
      </c>
      <c r="E17" s="102">
        <v>185.45</v>
      </c>
      <c r="F17" s="161">
        <f t="shared" si="0"/>
        <v>2.6521739130435377E-2</v>
      </c>
      <c r="G17" s="162">
        <f t="shared" si="1"/>
        <v>0.22387805555555554</v>
      </c>
      <c r="H17" s="162">
        <f t="shared" si="2"/>
        <v>1.6146795138888885</v>
      </c>
      <c r="I17" s="102">
        <f t="shared" si="3"/>
        <v>0.71889829927788762</v>
      </c>
      <c r="J17" s="102">
        <v>0.8</v>
      </c>
      <c r="K17" s="161" t="str">
        <f>IF('CAL VERIFICAÇÕES'!Q17="OK","OK","NÃO OK")</f>
        <v>OK</v>
      </c>
      <c r="L17" s="105" t="s">
        <v>266</v>
      </c>
      <c r="M17" s="163" t="s">
        <v>266</v>
      </c>
    </row>
    <row r="18" spans="1:13" ht="15" thickBot="1" x14ac:dyDescent="0.25">
      <c r="A18" s="166" t="s">
        <v>216</v>
      </c>
      <c r="B18" s="167">
        <v>0</v>
      </c>
      <c r="C18" s="167">
        <v>79</v>
      </c>
      <c r="D18" s="167">
        <v>185.45</v>
      </c>
      <c r="E18" s="167">
        <v>184.83</v>
      </c>
      <c r="F18" s="168">
        <f t="shared" si="0"/>
        <v>7.8481012658224818E-3</v>
      </c>
      <c r="G18" s="169">
        <f t="shared" si="1"/>
        <v>0</v>
      </c>
      <c r="H18" s="169">
        <f t="shared" si="2"/>
        <v>1.6146795138888885</v>
      </c>
      <c r="I18" s="167">
        <f t="shared" si="3"/>
        <v>0.90328431459389746</v>
      </c>
      <c r="J18" s="167">
        <v>1</v>
      </c>
      <c r="K18" s="168" t="str">
        <f>IF('CAL VERIFICAÇÕES'!Q18="OK","OK","NÃO OK")</f>
        <v>OK</v>
      </c>
      <c r="L18" s="170" t="s">
        <v>266</v>
      </c>
      <c r="M18" s="171" t="s">
        <v>266</v>
      </c>
    </row>
    <row r="19" spans="1:13" x14ac:dyDescent="0.2">
      <c r="A19" s="160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74"/>
    </row>
    <row r="20" spans="1:13" x14ac:dyDescent="0.2">
      <c r="A20" s="160"/>
      <c r="B20" s="441" t="s">
        <v>240</v>
      </c>
      <c r="C20" s="441"/>
      <c r="D20" s="103"/>
      <c r="E20" s="103"/>
      <c r="F20" s="103"/>
      <c r="G20" s="103"/>
      <c r="H20" s="103"/>
      <c r="I20" s="103"/>
      <c r="J20" s="103"/>
      <c r="K20" s="103"/>
      <c r="L20" s="103"/>
      <c r="M20" s="174"/>
    </row>
    <row r="21" spans="1:13" x14ac:dyDescent="0.2">
      <c r="A21" s="160"/>
      <c r="B21" s="110" t="s">
        <v>241</v>
      </c>
      <c r="C21" s="110">
        <v>0.5</v>
      </c>
      <c r="D21" s="103"/>
      <c r="E21" s="103"/>
      <c r="F21" s="103"/>
      <c r="G21" s="103"/>
      <c r="H21" s="103"/>
      <c r="I21" s="103"/>
      <c r="J21" s="103"/>
      <c r="K21" s="103"/>
      <c r="L21" s="103"/>
      <c r="M21" s="174"/>
    </row>
    <row r="22" spans="1:13" x14ac:dyDescent="0.2">
      <c r="A22" s="160"/>
      <c r="B22" s="110" t="s">
        <v>242</v>
      </c>
      <c r="C22" s="110">
        <v>125.5</v>
      </c>
      <c r="D22" s="103"/>
      <c r="E22" s="103"/>
      <c r="F22" s="103"/>
      <c r="G22" s="103"/>
      <c r="H22" s="103"/>
      <c r="I22" s="103"/>
      <c r="J22" s="103"/>
      <c r="K22" s="103"/>
      <c r="L22" s="103"/>
      <c r="M22" s="174"/>
    </row>
    <row r="23" spans="1:13" x14ac:dyDescent="0.2">
      <c r="A23" s="160"/>
      <c r="B23" s="110" t="s">
        <v>243</v>
      </c>
      <c r="C23" s="164">
        <v>1.2999999999999999E-2</v>
      </c>
      <c r="D23" s="103"/>
      <c r="E23" s="103"/>
      <c r="F23" s="103"/>
      <c r="G23" s="103"/>
      <c r="H23" s="103"/>
      <c r="I23" s="103"/>
      <c r="J23" s="103"/>
      <c r="K23" s="103"/>
      <c r="L23" s="103"/>
      <c r="M23" s="174"/>
    </row>
    <row r="24" spans="1:13" ht="28.5" x14ac:dyDescent="0.2">
      <c r="A24" s="160"/>
      <c r="B24" s="165" t="s">
        <v>251</v>
      </c>
      <c r="C24" s="110" t="s">
        <v>254</v>
      </c>
      <c r="D24" s="103"/>
      <c r="E24" s="103"/>
      <c r="F24" s="103"/>
      <c r="G24" s="103"/>
      <c r="H24" s="103"/>
      <c r="I24" s="103"/>
      <c r="J24" s="103"/>
      <c r="K24" s="103"/>
      <c r="L24" s="103"/>
      <c r="M24" s="174"/>
    </row>
    <row r="25" spans="1:13" ht="29.25" thickBot="1" x14ac:dyDescent="0.25">
      <c r="A25" s="160"/>
      <c r="B25" s="172" t="s">
        <v>252</v>
      </c>
      <c r="C25" s="173" t="s">
        <v>253</v>
      </c>
      <c r="D25" s="103"/>
      <c r="E25" s="103"/>
      <c r="F25" s="103"/>
      <c r="G25" s="103"/>
      <c r="H25" s="103"/>
      <c r="I25" s="103"/>
      <c r="J25" s="103"/>
      <c r="K25" s="103"/>
      <c r="L25" s="103"/>
      <c r="M25" s="174"/>
    </row>
    <row r="26" spans="1:13" ht="15.75" thickBot="1" x14ac:dyDescent="0.25">
      <c r="A26" s="259"/>
      <c r="B26" s="260"/>
      <c r="C26" s="260"/>
      <c r="D26" s="260"/>
      <c r="E26" s="260"/>
      <c r="F26" s="260"/>
      <c r="G26" s="260"/>
      <c r="H26" s="260"/>
      <c r="I26" s="260"/>
      <c r="J26" s="260"/>
      <c r="K26" s="260"/>
      <c r="L26" s="260"/>
      <c r="M26" s="261"/>
    </row>
    <row r="27" spans="1:13" x14ac:dyDescent="0.2">
      <c r="A27" s="442" t="s">
        <v>137</v>
      </c>
      <c r="B27" s="443"/>
      <c r="C27" s="443"/>
      <c r="D27" s="443"/>
      <c r="E27" s="442" t="s">
        <v>138</v>
      </c>
      <c r="F27" s="443"/>
      <c r="G27" s="444"/>
      <c r="H27" s="364" t="s">
        <v>142</v>
      </c>
      <c r="I27" s="365"/>
      <c r="J27" s="365"/>
      <c r="K27" s="365"/>
      <c r="L27" s="365"/>
      <c r="M27" s="366"/>
    </row>
    <row r="28" spans="1:13" ht="15" thickBot="1" x14ac:dyDescent="0.25">
      <c r="A28" s="290"/>
      <c r="B28" s="314"/>
      <c r="C28" s="314"/>
      <c r="D28" s="314"/>
      <c r="E28" s="290"/>
      <c r="F28" s="314"/>
      <c r="G28" s="291"/>
      <c r="H28" s="367"/>
      <c r="I28" s="368"/>
      <c r="J28" s="368"/>
      <c r="K28" s="368"/>
      <c r="L28" s="368"/>
      <c r="M28" s="369"/>
    </row>
    <row r="29" spans="1:13" x14ac:dyDescent="0.2">
      <c r="A29" s="321"/>
      <c r="B29" s="322"/>
      <c r="C29" s="322"/>
      <c r="D29" s="322"/>
      <c r="E29" s="321"/>
      <c r="F29" s="322"/>
      <c r="G29" s="323"/>
      <c r="H29" s="435" t="s">
        <v>269</v>
      </c>
      <c r="I29" s="436"/>
      <c r="J29" s="436"/>
      <c r="K29" s="436"/>
      <c r="L29" s="436"/>
      <c r="M29" s="437"/>
    </row>
    <row r="30" spans="1:13" x14ac:dyDescent="0.2">
      <c r="A30" s="264"/>
      <c r="B30" s="265"/>
      <c r="C30" s="265"/>
      <c r="D30" s="265"/>
      <c r="E30" s="264"/>
      <c r="F30" s="265"/>
      <c r="G30" s="324"/>
      <c r="H30" s="438"/>
      <c r="I30" s="439"/>
      <c r="J30" s="439"/>
      <c r="K30" s="439"/>
      <c r="L30" s="439"/>
      <c r="M30" s="440"/>
    </row>
    <row r="31" spans="1:13" x14ac:dyDescent="0.2">
      <c r="A31" s="318" t="s">
        <v>13</v>
      </c>
      <c r="B31" s="319"/>
      <c r="C31" s="319"/>
      <c r="D31" s="319"/>
      <c r="E31" s="376" t="s">
        <v>140</v>
      </c>
      <c r="F31" s="377"/>
      <c r="G31" s="378"/>
      <c r="H31" s="379" t="s">
        <v>268</v>
      </c>
      <c r="I31" s="374"/>
      <c r="J31" s="374"/>
      <c r="K31" s="374"/>
      <c r="L31" s="374"/>
      <c r="M31" s="375"/>
    </row>
    <row r="32" spans="1:13" ht="15" thickBot="1" x14ac:dyDescent="0.25">
      <c r="A32" s="300" t="s">
        <v>14</v>
      </c>
      <c r="B32" s="325"/>
      <c r="C32" s="301"/>
      <c r="D32" s="301"/>
      <c r="E32" s="290" t="s">
        <v>139</v>
      </c>
      <c r="F32" s="314"/>
      <c r="G32" s="291"/>
      <c r="H32" s="434"/>
      <c r="I32" s="301"/>
      <c r="J32" s="301"/>
      <c r="K32" s="301"/>
      <c r="L32" s="301"/>
      <c r="M32" s="262"/>
    </row>
    <row r="33" spans="6:6" x14ac:dyDescent="0.2">
      <c r="F33" s="12"/>
    </row>
  </sheetData>
  <mergeCells count="32">
    <mergeCell ref="A5:M5"/>
    <mergeCell ref="H31:M31"/>
    <mergeCell ref="H32:M32"/>
    <mergeCell ref="H29:M30"/>
    <mergeCell ref="A29:D30"/>
    <mergeCell ref="E29:G30"/>
    <mergeCell ref="A31:D31"/>
    <mergeCell ref="E31:G31"/>
    <mergeCell ref="A32:D32"/>
    <mergeCell ref="E32:G32"/>
    <mergeCell ref="B20:C20"/>
    <mergeCell ref="A26:M26"/>
    <mergeCell ref="A27:D28"/>
    <mergeCell ref="E27:G28"/>
    <mergeCell ref="H27:M28"/>
    <mergeCell ref="K6:K8"/>
    <mergeCell ref="B1:M1"/>
    <mergeCell ref="B2:M2"/>
    <mergeCell ref="B3:M3"/>
    <mergeCell ref="B4:M4"/>
    <mergeCell ref="A6:A8"/>
    <mergeCell ref="B6:B8"/>
    <mergeCell ref="C6:C8"/>
    <mergeCell ref="D6:D8"/>
    <mergeCell ref="L6:L8"/>
    <mergeCell ref="M6:M8"/>
    <mergeCell ref="E6:E8"/>
    <mergeCell ref="F6:F8"/>
    <mergeCell ref="G6:G8"/>
    <mergeCell ref="H6:H8"/>
    <mergeCell ref="I6:I8"/>
    <mergeCell ref="J6:J8"/>
  </mergeCells>
  <pageMargins left="0.511811024" right="0.511811024" top="1.1401041666666667" bottom="0.78740157499999996" header="0.31496062000000002" footer="0.31496062000000002"/>
  <pageSetup paperSize="9" scale="71" fitToHeight="0" orientation="landscape" r:id="rId1"/>
  <headerFooter>
    <oddHeader>&amp;C&amp;G</oddHeader>
    <oddFooter>&amp;CRua Rui Barbosa, 310 - Centro - Araputanga-MT – Cel: (65) 99613-9294 E-mail: carolina.o.almeida@hotmail.com / escalaprojeta@gmail.com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topLeftCell="A16" zoomScaleNormal="100" zoomScaleSheetLayoutView="100" workbookViewId="0">
      <selection activeCell="H20" sqref="H20"/>
    </sheetView>
  </sheetViews>
  <sheetFormatPr defaultRowHeight="14.25" x14ac:dyDescent="0.2"/>
  <cols>
    <col min="1" max="1" width="11.875" customWidth="1"/>
    <col min="2" max="3" width="16.75" customWidth="1"/>
    <col min="4" max="4" width="14.125" customWidth="1"/>
    <col min="5" max="5" width="11.125" customWidth="1"/>
    <col min="6" max="6" width="9.75" customWidth="1"/>
    <col min="7" max="7" width="14" customWidth="1"/>
    <col min="8" max="9" width="12.25" customWidth="1"/>
    <col min="10" max="10" width="14.125" customWidth="1"/>
    <col min="11" max="11" width="9.75" customWidth="1"/>
    <col min="12" max="12" width="9.875" customWidth="1"/>
    <col min="13" max="16" width="11.875" customWidth="1"/>
    <col min="17" max="17" width="13.75" customWidth="1"/>
    <col min="18" max="18" width="13.25" customWidth="1"/>
  </cols>
  <sheetData>
    <row r="1" spans="1:18" x14ac:dyDescent="0.2">
      <c r="A1" s="175" t="s">
        <v>0</v>
      </c>
      <c r="B1" s="430" t="str">
        <f>PLANILHA!B1</f>
        <v>Construção de rede de drenagem pluvial</v>
      </c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  <c r="N1" s="430"/>
      <c r="O1" s="430"/>
      <c r="P1" s="430"/>
      <c r="Q1" s="430"/>
      <c r="R1" s="430"/>
    </row>
    <row r="2" spans="1:18" x14ac:dyDescent="0.2">
      <c r="A2" s="175" t="s">
        <v>1</v>
      </c>
      <c r="B2" s="430" t="str">
        <f>PLANILHA!B2</f>
        <v>Prefeitura Municipal de Indiavaí</v>
      </c>
      <c r="C2" s="430"/>
      <c r="D2" s="430"/>
      <c r="E2" s="430"/>
      <c r="F2" s="430"/>
      <c r="G2" s="430"/>
      <c r="H2" s="430"/>
      <c r="I2" s="430"/>
      <c r="J2" s="430"/>
      <c r="K2" s="430"/>
      <c r="L2" s="430"/>
      <c r="M2" s="430"/>
      <c r="N2" s="430"/>
      <c r="O2" s="430"/>
      <c r="P2" s="430"/>
      <c r="Q2" s="430"/>
      <c r="R2" s="430"/>
    </row>
    <row r="3" spans="1:18" x14ac:dyDescent="0.2">
      <c r="A3" s="175" t="s">
        <v>2</v>
      </c>
      <c r="B3" s="430" t="str">
        <f>PLANILHA!B3</f>
        <v>Avenida Governador Jayme Campos</v>
      </c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  <c r="Q3" s="430"/>
      <c r="R3" s="430"/>
    </row>
    <row r="4" spans="1:18" x14ac:dyDescent="0.2">
      <c r="A4" s="176" t="s">
        <v>3</v>
      </c>
      <c r="B4" s="430" t="str">
        <f>DESCRIÇÃO!B4</f>
        <v>30 de julho de 2021</v>
      </c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0"/>
      <c r="R4" s="430"/>
    </row>
    <row r="5" spans="1:18" ht="15.75" thickBot="1" x14ac:dyDescent="0.25">
      <c r="A5" s="445" t="s">
        <v>259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  <c r="O5" s="446"/>
      <c r="P5" s="446"/>
      <c r="Q5" s="446"/>
      <c r="R5" s="447"/>
    </row>
    <row r="6" spans="1:18" ht="15" customHeight="1" x14ac:dyDescent="0.2">
      <c r="A6" s="421" t="s">
        <v>149</v>
      </c>
      <c r="B6" s="432" t="s">
        <v>215</v>
      </c>
      <c r="C6" s="432" t="s">
        <v>239</v>
      </c>
      <c r="D6" s="433" t="s">
        <v>153</v>
      </c>
      <c r="E6" s="417" t="s">
        <v>236</v>
      </c>
      <c r="F6" s="417" t="s">
        <v>237</v>
      </c>
      <c r="G6" s="417" t="s">
        <v>238</v>
      </c>
      <c r="H6" s="417" t="s">
        <v>255</v>
      </c>
      <c r="I6" s="417" t="s">
        <v>256</v>
      </c>
      <c r="J6" s="417" t="s">
        <v>250</v>
      </c>
      <c r="K6" s="417" t="s">
        <v>244</v>
      </c>
      <c r="L6" s="417" t="s">
        <v>245</v>
      </c>
      <c r="M6" s="409" t="s">
        <v>247</v>
      </c>
      <c r="N6" s="409" t="s">
        <v>246</v>
      </c>
      <c r="O6" s="409" t="s">
        <v>248</v>
      </c>
      <c r="P6" s="409" t="s">
        <v>249</v>
      </c>
      <c r="Q6" s="409" t="s">
        <v>258</v>
      </c>
      <c r="R6" s="409" t="s">
        <v>257</v>
      </c>
    </row>
    <row r="7" spans="1:18" ht="15" customHeight="1" x14ac:dyDescent="0.2">
      <c r="A7" s="422"/>
      <c r="B7" s="432"/>
      <c r="C7" s="432"/>
      <c r="D7" s="433"/>
      <c r="E7" s="418"/>
      <c r="F7" s="418"/>
      <c r="G7" s="418"/>
      <c r="H7" s="418"/>
      <c r="I7" s="418"/>
      <c r="J7" s="418"/>
      <c r="K7" s="418"/>
      <c r="L7" s="418"/>
      <c r="M7" s="410"/>
      <c r="N7" s="410"/>
      <c r="O7" s="410"/>
      <c r="P7" s="410"/>
      <c r="Q7" s="410"/>
      <c r="R7" s="410"/>
    </row>
    <row r="8" spans="1:18" ht="34.5" customHeight="1" x14ac:dyDescent="0.2">
      <c r="A8" s="422"/>
      <c r="B8" s="417"/>
      <c r="C8" s="417"/>
      <c r="D8" s="419"/>
      <c r="E8" s="418"/>
      <c r="F8" s="418"/>
      <c r="G8" s="418"/>
      <c r="H8" s="418"/>
      <c r="I8" s="418"/>
      <c r="J8" s="418"/>
      <c r="K8" s="418"/>
      <c r="L8" s="418"/>
      <c r="M8" s="410"/>
      <c r="N8" s="410"/>
      <c r="O8" s="410"/>
      <c r="P8" s="410"/>
      <c r="Q8" s="410"/>
      <c r="R8" s="410"/>
    </row>
    <row r="9" spans="1:18" x14ac:dyDescent="0.2">
      <c r="A9" s="104" t="s">
        <v>150</v>
      </c>
      <c r="B9" s="102">
        <v>0.6</v>
      </c>
      <c r="C9" s="102">
        <v>0.25540000000000002</v>
      </c>
      <c r="D9" s="102">
        <v>88</v>
      </c>
      <c r="E9" s="102">
        <v>200.82</v>
      </c>
      <c r="F9" s="102">
        <v>199</v>
      </c>
      <c r="G9" s="161">
        <f t="shared" ref="G9:G18" si="0">(E9-F9)/D9</f>
        <v>2.0681818181818103E-2</v>
      </c>
      <c r="H9" s="162">
        <f t="shared" ref="H9:H18" si="1">(C9*0.01*$C$21*$C$22)/3.6</f>
        <v>4.4517638888888898E-2</v>
      </c>
      <c r="I9" s="162">
        <f>(C9*0.01*C22*C21)/3.6</f>
        <v>4.4517638888888898E-2</v>
      </c>
      <c r="J9" s="102">
        <f t="shared" ref="J9:J18" si="2">((PI()*(B9^2))/(4*$C$23))*((B9/4)^(2/3))*G9^(1/2)</f>
        <v>0.88302071878815203</v>
      </c>
      <c r="K9" s="161">
        <f t="shared" ref="K9:K18" si="3">I9/J9</f>
        <v>5.0415169136670338E-2</v>
      </c>
      <c r="L9" s="161">
        <v>0.16</v>
      </c>
      <c r="M9" s="105">
        <f t="shared" ref="M9:M18" si="4">B9*L9</f>
        <v>9.6000000000000002E-2</v>
      </c>
      <c r="N9" s="163">
        <v>0.53759999999999997</v>
      </c>
      <c r="O9" s="105">
        <f t="shared" ref="O9:O18" si="5">J9/((PI()*(B9^2))/4)</f>
        <v>3.1230469388376187</v>
      </c>
      <c r="P9" s="105">
        <f t="shared" ref="P9:P18" si="6">N9*O9</f>
        <v>1.6789500343191037</v>
      </c>
      <c r="Q9" s="105" t="str">
        <f>IF(L9&lt;0.75,"OK","NÃO OK")</f>
        <v>OK</v>
      </c>
      <c r="R9" s="105" t="str">
        <f>IF(P9&lt;5,"OK","NÃO OK")</f>
        <v>OK</v>
      </c>
    </row>
    <row r="10" spans="1:18" x14ac:dyDescent="0.2">
      <c r="A10" s="104" t="s">
        <v>162</v>
      </c>
      <c r="B10" s="102">
        <v>0.6</v>
      </c>
      <c r="C10" s="102">
        <v>1.2270000000000001</v>
      </c>
      <c r="D10" s="102">
        <v>110</v>
      </c>
      <c r="E10" s="102">
        <v>199</v>
      </c>
      <c r="F10" s="102">
        <v>196.56</v>
      </c>
      <c r="G10" s="161">
        <f t="shared" si="0"/>
        <v>2.218181818181816E-2</v>
      </c>
      <c r="H10" s="162">
        <f t="shared" si="1"/>
        <v>0.21387291666666669</v>
      </c>
      <c r="I10" s="162">
        <f t="shared" ref="I10:I18" si="7">H10+I9</f>
        <v>0.25839055555555557</v>
      </c>
      <c r="J10" s="102">
        <f t="shared" si="2"/>
        <v>0.91448188396654251</v>
      </c>
      <c r="K10" s="161">
        <f t="shared" si="3"/>
        <v>0.28255404517669935</v>
      </c>
      <c r="L10" s="161">
        <v>0.37</v>
      </c>
      <c r="M10" s="105">
        <f t="shared" si="4"/>
        <v>0.222</v>
      </c>
      <c r="N10" s="163">
        <v>0.86750000000000005</v>
      </c>
      <c r="O10" s="105">
        <f t="shared" si="5"/>
        <v>3.2343180489169847</v>
      </c>
      <c r="P10" s="105">
        <f t="shared" si="6"/>
        <v>2.8057709074354844</v>
      </c>
      <c r="Q10" s="105" t="str">
        <f t="shared" ref="Q10:Q18" si="8">IF(L10&lt;0.75,"OK","NÃO OK")</f>
        <v>OK</v>
      </c>
      <c r="R10" s="105" t="str">
        <f t="shared" ref="R10:R18" si="9">IF(P10&lt;5,"OK","NÃO OK")</f>
        <v>OK</v>
      </c>
    </row>
    <row r="11" spans="1:18" x14ac:dyDescent="0.2">
      <c r="A11" s="104" t="s">
        <v>163</v>
      </c>
      <c r="B11" s="102">
        <v>0.8</v>
      </c>
      <c r="C11" s="102">
        <v>1.2365999999999999</v>
      </c>
      <c r="D11" s="102">
        <v>110</v>
      </c>
      <c r="E11" s="102">
        <v>196.56</v>
      </c>
      <c r="F11" s="102">
        <v>196.01</v>
      </c>
      <c r="G11" s="161">
        <f t="shared" si="0"/>
        <v>5.0000000000001033E-3</v>
      </c>
      <c r="H11" s="162">
        <f t="shared" si="1"/>
        <v>0.21554624999999999</v>
      </c>
      <c r="I11" s="162">
        <f t="shared" si="7"/>
        <v>0.47393680555555556</v>
      </c>
      <c r="J11" s="102">
        <f t="shared" si="2"/>
        <v>0.93504282561860652</v>
      </c>
      <c r="K11" s="161">
        <f t="shared" si="3"/>
        <v>0.50686106836016631</v>
      </c>
      <c r="L11" s="161">
        <v>0.51</v>
      </c>
      <c r="M11" s="105">
        <f t="shared" si="4"/>
        <v>0.40800000000000003</v>
      </c>
      <c r="N11" s="163">
        <v>1.0084</v>
      </c>
      <c r="O11" s="105">
        <f t="shared" si="5"/>
        <v>1.8602085962476791</v>
      </c>
      <c r="P11" s="105">
        <f t="shared" si="6"/>
        <v>1.8758343484561595</v>
      </c>
      <c r="Q11" s="105" t="str">
        <f t="shared" si="8"/>
        <v>OK</v>
      </c>
      <c r="R11" s="105" t="str">
        <f t="shared" si="9"/>
        <v>OK</v>
      </c>
    </row>
    <row r="12" spans="1:18" x14ac:dyDescent="0.2">
      <c r="A12" s="104" t="s">
        <v>164</v>
      </c>
      <c r="B12" s="102">
        <v>0.8</v>
      </c>
      <c r="C12" s="102">
        <v>0.80830000000000002</v>
      </c>
      <c r="D12" s="102">
        <v>110</v>
      </c>
      <c r="E12" s="102">
        <v>196.01</v>
      </c>
      <c r="F12" s="102">
        <v>195.46</v>
      </c>
      <c r="G12" s="161">
        <f t="shared" si="0"/>
        <v>4.9999999999998448E-3</v>
      </c>
      <c r="H12" s="162">
        <f t="shared" si="1"/>
        <v>0.14089118055555555</v>
      </c>
      <c r="I12" s="162">
        <f t="shared" si="7"/>
        <v>0.61482798611111111</v>
      </c>
      <c r="J12" s="102">
        <f t="shared" si="2"/>
        <v>0.93504282561858221</v>
      </c>
      <c r="K12" s="161">
        <f t="shared" si="3"/>
        <v>0.65753992145158546</v>
      </c>
      <c r="L12" s="161">
        <v>0.6</v>
      </c>
      <c r="M12" s="105">
        <f t="shared" si="4"/>
        <v>0.48</v>
      </c>
      <c r="N12" s="163">
        <v>1.0724</v>
      </c>
      <c r="O12" s="105">
        <f t="shared" si="5"/>
        <v>1.8602085962476307</v>
      </c>
      <c r="P12" s="105">
        <f t="shared" si="6"/>
        <v>1.9948876986159592</v>
      </c>
      <c r="Q12" s="105" t="str">
        <f t="shared" si="8"/>
        <v>OK</v>
      </c>
      <c r="R12" s="105" t="str">
        <f t="shared" si="9"/>
        <v>OK</v>
      </c>
    </row>
    <row r="13" spans="1:18" x14ac:dyDescent="0.2">
      <c r="A13" s="104" t="s">
        <v>165</v>
      </c>
      <c r="B13" s="102">
        <v>0.8</v>
      </c>
      <c r="C13" s="102">
        <v>1.2438</v>
      </c>
      <c r="D13" s="102">
        <v>110</v>
      </c>
      <c r="E13" s="102">
        <v>195.46</v>
      </c>
      <c r="F13" s="102">
        <v>193.74</v>
      </c>
      <c r="G13" s="161">
        <f t="shared" si="0"/>
        <v>1.5636363636363625E-2</v>
      </c>
      <c r="H13" s="162">
        <f t="shared" si="1"/>
        <v>0.21680125</v>
      </c>
      <c r="I13" s="162">
        <f t="shared" si="7"/>
        <v>0.83162923611111106</v>
      </c>
      <c r="J13" s="102">
        <f t="shared" si="2"/>
        <v>1.6535387657847864</v>
      </c>
      <c r="K13" s="161">
        <f t="shared" si="3"/>
        <v>0.50293906216127404</v>
      </c>
      <c r="L13" s="161">
        <v>0.51</v>
      </c>
      <c r="M13" s="105">
        <f t="shared" si="4"/>
        <v>0.40800000000000003</v>
      </c>
      <c r="N13" s="163">
        <v>1.0084</v>
      </c>
      <c r="O13" s="105">
        <f t="shared" si="5"/>
        <v>3.2896108521090066</v>
      </c>
      <c r="P13" s="105">
        <f t="shared" si="6"/>
        <v>3.317243583266722</v>
      </c>
      <c r="Q13" s="105" t="str">
        <f t="shared" si="8"/>
        <v>OK</v>
      </c>
      <c r="R13" s="105" t="str">
        <f t="shared" si="9"/>
        <v>OK</v>
      </c>
    </row>
    <row r="14" spans="1:18" x14ac:dyDescent="0.2">
      <c r="A14" s="104" t="s">
        <v>166</v>
      </c>
      <c r="B14" s="102">
        <v>0.8</v>
      </c>
      <c r="C14" s="102">
        <v>1.18</v>
      </c>
      <c r="D14" s="102">
        <v>110</v>
      </c>
      <c r="E14" s="102">
        <v>193.74</v>
      </c>
      <c r="F14" s="102">
        <v>190.63</v>
      </c>
      <c r="G14" s="161">
        <f t="shared" si="0"/>
        <v>2.8272727272727397E-2</v>
      </c>
      <c r="H14" s="162">
        <f t="shared" si="1"/>
        <v>0.20568055555555553</v>
      </c>
      <c r="I14" s="162">
        <f t="shared" si="7"/>
        <v>1.0373097916666665</v>
      </c>
      <c r="J14" s="102">
        <f t="shared" si="2"/>
        <v>2.2234652793470127</v>
      </c>
      <c r="K14" s="161">
        <f t="shared" si="3"/>
        <v>0.466528441573553</v>
      </c>
      <c r="L14" s="161">
        <v>0.49</v>
      </c>
      <c r="M14" s="105">
        <f t="shared" si="4"/>
        <v>0.39200000000000002</v>
      </c>
      <c r="N14" s="163">
        <v>0.99139999999999995</v>
      </c>
      <c r="O14" s="105">
        <f t="shared" si="5"/>
        <v>4.4234436250159872</v>
      </c>
      <c r="P14" s="105">
        <f t="shared" si="6"/>
        <v>4.385402009840849</v>
      </c>
      <c r="Q14" s="105" t="str">
        <f t="shared" si="8"/>
        <v>OK</v>
      </c>
      <c r="R14" s="105" t="str">
        <f t="shared" si="9"/>
        <v>OK</v>
      </c>
    </row>
    <row r="15" spans="1:18" x14ac:dyDescent="0.2">
      <c r="A15" s="104" t="s">
        <v>167</v>
      </c>
      <c r="B15" s="102">
        <v>0.8</v>
      </c>
      <c r="C15" s="102">
        <v>0.74360000000000004</v>
      </c>
      <c r="D15" s="102">
        <v>78</v>
      </c>
      <c r="E15" s="102">
        <v>190.63</v>
      </c>
      <c r="F15" s="102">
        <v>188.71</v>
      </c>
      <c r="G15" s="161">
        <f t="shared" si="0"/>
        <v>2.4615384615384456E-2</v>
      </c>
      <c r="H15" s="162">
        <f t="shared" si="1"/>
        <v>0.12961361111111111</v>
      </c>
      <c r="I15" s="162">
        <f t="shared" si="7"/>
        <v>1.1669234027777775</v>
      </c>
      <c r="J15" s="102">
        <f t="shared" si="2"/>
        <v>2.0746737553985066</v>
      </c>
      <c r="K15" s="161">
        <f t="shared" si="3"/>
        <v>0.56246115792486762</v>
      </c>
      <c r="L15" s="161">
        <v>0.54</v>
      </c>
      <c r="M15" s="105">
        <f t="shared" si="4"/>
        <v>0.43200000000000005</v>
      </c>
      <c r="N15" s="163">
        <v>1.032</v>
      </c>
      <c r="O15" s="105">
        <f t="shared" si="5"/>
        <v>4.127432293433726</v>
      </c>
      <c r="P15" s="105">
        <f t="shared" si="6"/>
        <v>4.2595101268236055</v>
      </c>
      <c r="Q15" s="105" t="str">
        <f t="shared" si="8"/>
        <v>OK</v>
      </c>
      <c r="R15" s="105" t="str">
        <f t="shared" si="9"/>
        <v>OK</v>
      </c>
    </row>
    <row r="16" spans="1:18" x14ac:dyDescent="0.2">
      <c r="A16" s="104" t="s">
        <v>168</v>
      </c>
      <c r="B16" s="102">
        <v>0.8</v>
      </c>
      <c r="C16" s="102">
        <v>1.2844</v>
      </c>
      <c r="D16" s="102">
        <v>89</v>
      </c>
      <c r="E16" s="102">
        <v>188.71</v>
      </c>
      <c r="F16" s="102">
        <v>186.06</v>
      </c>
      <c r="G16" s="161">
        <f t="shared" si="0"/>
        <v>2.9775280898876468E-2</v>
      </c>
      <c r="H16" s="162">
        <f t="shared" si="1"/>
        <v>0.22387805555555554</v>
      </c>
      <c r="I16" s="162">
        <f t="shared" si="7"/>
        <v>1.390801458333333</v>
      </c>
      <c r="J16" s="102">
        <f t="shared" si="2"/>
        <v>2.2817834918873823</v>
      </c>
      <c r="K16" s="161">
        <f t="shared" si="3"/>
        <v>0.60952384977723217</v>
      </c>
      <c r="L16" s="161">
        <v>0.56999999999999995</v>
      </c>
      <c r="M16" s="105">
        <f t="shared" si="4"/>
        <v>0.45599999999999996</v>
      </c>
      <c r="N16" s="163">
        <v>1.0532999999999999</v>
      </c>
      <c r="O16" s="105">
        <f t="shared" si="5"/>
        <v>4.539464022492032</v>
      </c>
      <c r="P16" s="105">
        <f t="shared" si="6"/>
        <v>4.7814174548908568</v>
      </c>
      <c r="Q16" s="105" t="str">
        <f t="shared" si="8"/>
        <v>OK</v>
      </c>
      <c r="R16" s="105" t="str">
        <f t="shared" si="9"/>
        <v>OK</v>
      </c>
    </row>
    <row r="17" spans="1:18" x14ac:dyDescent="0.2">
      <c r="A17" s="104" t="s">
        <v>169</v>
      </c>
      <c r="B17" s="102">
        <v>0.8</v>
      </c>
      <c r="C17" s="102">
        <v>1.2844</v>
      </c>
      <c r="D17" s="102">
        <v>23</v>
      </c>
      <c r="E17" s="102">
        <v>186.06</v>
      </c>
      <c r="F17" s="102">
        <v>185.45</v>
      </c>
      <c r="G17" s="161">
        <f t="shared" si="0"/>
        <v>2.6521739130435377E-2</v>
      </c>
      <c r="H17" s="162">
        <f t="shared" si="1"/>
        <v>0.22387805555555554</v>
      </c>
      <c r="I17" s="162">
        <f t="shared" si="7"/>
        <v>1.6146795138888885</v>
      </c>
      <c r="J17" s="102">
        <f t="shared" si="2"/>
        <v>2.1535130092214758</v>
      </c>
      <c r="K17" s="161">
        <f>I17/J17</f>
        <v>0.74978860446848061</v>
      </c>
      <c r="L17" s="161">
        <v>0.6</v>
      </c>
      <c r="M17" s="105">
        <f t="shared" si="4"/>
        <v>0.48</v>
      </c>
      <c r="N17" s="163">
        <v>1.0724</v>
      </c>
      <c r="O17" s="105">
        <f t="shared" si="5"/>
        <v>4.284278005378753</v>
      </c>
      <c r="P17" s="105">
        <f t="shared" si="6"/>
        <v>4.5944597329681747</v>
      </c>
      <c r="Q17" s="105" t="str">
        <f t="shared" si="8"/>
        <v>OK</v>
      </c>
      <c r="R17" s="105" t="str">
        <f t="shared" si="9"/>
        <v>OK</v>
      </c>
    </row>
    <row r="18" spans="1:18" ht="15" thickBot="1" x14ac:dyDescent="0.25">
      <c r="A18" s="166" t="s">
        <v>216</v>
      </c>
      <c r="B18" s="167">
        <v>1</v>
      </c>
      <c r="C18" s="167">
        <v>0</v>
      </c>
      <c r="D18" s="167">
        <v>79</v>
      </c>
      <c r="E18" s="167">
        <v>185.45</v>
      </c>
      <c r="F18" s="167">
        <v>184.83</v>
      </c>
      <c r="G18" s="168">
        <f t="shared" si="0"/>
        <v>7.8481012658224818E-3</v>
      </c>
      <c r="H18" s="169">
        <f t="shared" si="1"/>
        <v>0</v>
      </c>
      <c r="I18" s="169">
        <f t="shared" si="7"/>
        <v>1.6146795138888885</v>
      </c>
      <c r="J18" s="167">
        <f t="shared" si="2"/>
        <v>2.1240048329950167</v>
      </c>
      <c r="K18" s="168">
        <f t="shared" si="3"/>
        <v>0.76020519765581762</v>
      </c>
      <c r="L18" s="168">
        <v>0.73</v>
      </c>
      <c r="M18" s="170">
        <f t="shared" si="4"/>
        <v>0.73</v>
      </c>
      <c r="N18" s="171">
        <v>1.1288</v>
      </c>
      <c r="O18" s="170">
        <f t="shared" si="5"/>
        <v>2.7043669465778604</v>
      </c>
      <c r="P18" s="170">
        <f t="shared" si="6"/>
        <v>3.0526894092970887</v>
      </c>
      <c r="Q18" s="170" t="str">
        <f t="shared" si="8"/>
        <v>OK</v>
      </c>
      <c r="R18" s="170" t="str">
        <f t="shared" si="9"/>
        <v>OK</v>
      </c>
    </row>
    <row r="19" spans="1:18" x14ac:dyDescent="0.2">
      <c r="A19" s="160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74"/>
    </row>
    <row r="20" spans="1:18" x14ac:dyDescent="0.2">
      <c r="A20" s="160"/>
      <c r="B20" s="441" t="s">
        <v>240</v>
      </c>
      <c r="C20" s="441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74"/>
    </row>
    <row r="21" spans="1:18" x14ac:dyDescent="0.2">
      <c r="A21" s="160"/>
      <c r="B21" s="110" t="s">
        <v>241</v>
      </c>
      <c r="C21" s="110">
        <v>0.5</v>
      </c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87"/>
      <c r="Q21" s="87"/>
      <c r="R21" s="174"/>
    </row>
    <row r="22" spans="1:18" x14ac:dyDescent="0.2">
      <c r="A22" s="160"/>
      <c r="B22" s="110" t="s">
        <v>242</v>
      </c>
      <c r="C22" s="110">
        <v>125.5</v>
      </c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87"/>
      <c r="Q22" s="87"/>
      <c r="R22" s="174"/>
    </row>
    <row r="23" spans="1:18" x14ac:dyDescent="0.2">
      <c r="A23" s="160"/>
      <c r="B23" s="110" t="s">
        <v>243</v>
      </c>
      <c r="C23" s="164">
        <v>1.2999999999999999E-2</v>
      </c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87"/>
      <c r="Q23" s="87"/>
      <c r="R23" s="174"/>
    </row>
    <row r="24" spans="1:18" ht="28.5" x14ac:dyDescent="0.2">
      <c r="A24" s="160"/>
      <c r="B24" s="165" t="s">
        <v>251</v>
      </c>
      <c r="C24" s="110" t="s">
        <v>254</v>
      </c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74"/>
    </row>
    <row r="25" spans="1:18" ht="29.25" thickBot="1" x14ac:dyDescent="0.25">
      <c r="A25" s="160"/>
      <c r="B25" s="172" t="s">
        <v>252</v>
      </c>
      <c r="C25" s="173" t="s">
        <v>253</v>
      </c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74"/>
    </row>
    <row r="26" spans="1:18" ht="15.75" thickBot="1" x14ac:dyDescent="0.25">
      <c r="A26" s="259"/>
      <c r="B26" s="260"/>
      <c r="C26" s="260"/>
      <c r="D26" s="260"/>
      <c r="E26" s="260"/>
      <c r="F26" s="260"/>
      <c r="G26" s="260"/>
      <c r="H26" s="260"/>
      <c r="I26" s="260"/>
      <c r="J26" s="260"/>
      <c r="K26" s="260"/>
      <c r="L26" s="260"/>
      <c r="M26" s="260"/>
      <c r="N26" s="260"/>
      <c r="O26" s="260"/>
      <c r="P26" s="260"/>
      <c r="Q26" s="260"/>
      <c r="R26" s="261"/>
    </row>
    <row r="27" spans="1:18" x14ac:dyDescent="0.2">
      <c r="A27" s="442" t="s">
        <v>137</v>
      </c>
      <c r="B27" s="443"/>
      <c r="C27" s="443"/>
      <c r="D27" s="443"/>
      <c r="E27" s="442" t="s">
        <v>138</v>
      </c>
      <c r="F27" s="443"/>
      <c r="G27" s="444"/>
      <c r="H27" s="364" t="s">
        <v>142</v>
      </c>
      <c r="I27" s="365"/>
      <c r="J27" s="365"/>
      <c r="K27" s="365"/>
      <c r="L27" s="365"/>
      <c r="M27" s="365"/>
      <c r="N27" s="365"/>
      <c r="O27" s="365"/>
      <c r="P27" s="365"/>
      <c r="Q27" s="365"/>
      <c r="R27" s="366"/>
    </row>
    <row r="28" spans="1:18" ht="15" thickBot="1" x14ac:dyDescent="0.25">
      <c r="A28" s="290"/>
      <c r="B28" s="314"/>
      <c r="C28" s="314"/>
      <c r="D28" s="314"/>
      <c r="E28" s="290"/>
      <c r="F28" s="314"/>
      <c r="G28" s="291"/>
      <c r="H28" s="367"/>
      <c r="I28" s="368"/>
      <c r="J28" s="368"/>
      <c r="K28" s="368"/>
      <c r="L28" s="368"/>
      <c r="M28" s="368"/>
      <c r="N28" s="368"/>
      <c r="O28" s="368"/>
      <c r="P28" s="368"/>
      <c r="Q28" s="368"/>
      <c r="R28" s="369"/>
    </row>
    <row r="29" spans="1:18" x14ac:dyDescent="0.2">
      <c r="A29" s="321"/>
      <c r="B29" s="322"/>
      <c r="C29" s="322"/>
      <c r="D29" s="322"/>
      <c r="E29" s="321"/>
      <c r="F29" s="322"/>
      <c r="G29" s="323"/>
      <c r="H29" s="302"/>
      <c r="I29" s="303"/>
      <c r="J29" s="303"/>
      <c r="K29" s="303"/>
      <c r="L29" s="303"/>
      <c r="M29" s="303"/>
      <c r="N29" s="303"/>
      <c r="O29" s="303"/>
      <c r="P29" s="303"/>
      <c r="Q29" s="303"/>
      <c r="R29" s="254"/>
    </row>
    <row r="30" spans="1:18" x14ac:dyDescent="0.2">
      <c r="A30" s="264"/>
      <c r="B30" s="265"/>
      <c r="C30" s="265"/>
      <c r="D30" s="265"/>
      <c r="E30" s="264"/>
      <c r="F30" s="265"/>
      <c r="G30" s="324"/>
      <c r="H30" s="302"/>
      <c r="I30" s="303"/>
      <c r="J30" s="303"/>
      <c r="K30" s="303"/>
      <c r="L30" s="303"/>
      <c r="M30" s="303"/>
      <c r="N30" s="303"/>
      <c r="O30" s="303"/>
      <c r="P30" s="303"/>
      <c r="Q30" s="303"/>
      <c r="R30" s="254"/>
    </row>
    <row r="31" spans="1:18" x14ac:dyDescent="0.2">
      <c r="A31" s="318" t="s">
        <v>13</v>
      </c>
      <c r="B31" s="319"/>
      <c r="C31" s="319"/>
      <c r="D31" s="319"/>
      <c r="E31" s="376" t="s">
        <v>140</v>
      </c>
      <c r="F31" s="377"/>
      <c r="G31" s="378"/>
      <c r="H31" s="302"/>
      <c r="I31" s="303"/>
      <c r="J31" s="303"/>
      <c r="K31" s="303"/>
      <c r="L31" s="303"/>
      <c r="M31" s="303"/>
      <c r="N31" s="303"/>
      <c r="O31" s="303"/>
      <c r="P31" s="303"/>
      <c r="Q31" s="303"/>
      <c r="R31" s="254"/>
    </row>
    <row r="32" spans="1:18" ht="15" thickBot="1" x14ac:dyDescent="0.25">
      <c r="A32" s="300" t="s">
        <v>14</v>
      </c>
      <c r="B32" s="325"/>
      <c r="C32" s="301"/>
      <c r="D32" s="301"/>
      <c r="E32" s="290" t="s">
        <v>139</v>
      </c>
      <c r="F32" s="314"/>
      <c r="G32" s="291"/>
      <c r="H32" s="434"/>
      <c r="I32" s="301"/>
      <c r="J32" s="301"/>
      <c r="K32" s="301"/>
      <c r="L32" s="301"/>
      <c r="M32" s="301"/>
      <c r="N32" s="301"/>
      <c r="O32" s="301"/>
      <c r="P32" s="301"/>
      <c r="Q32" s="301"/>
      <c r="R32" s="262"/>
    </row>
    <row r="33" spans="6:6" x14ac:dyDescent="0.2">
      <c r="F33" s="12"/>
    </row>
  </sheetData>
  <mergeCells count="35">
    <mergeCell ref="B1:R1"/>
    <mergeCell ref="B2:R2"/>
    <mergeCell ref="B3:R3"/>
    <mergeCell ref="B4:R4"/>
    <mergeCell ref="A27:D28"/>
    <mergeCell ref="E27:G28"/>
    <mergeCell ref="A6:A8"/>
    <mergeCell ref="C6:C8"/>
    <mergeCell ref="D6:D8"/>
    <mergeCell ref="E6:E8"/>
    <mergeCell ref="F6:F8"/>
    <mergeCell ref="H6:H8"/>
    <mergeCell ref="M6:M8"/>
    <mergeCell ref="B6:B8"/>
    <mergeCell ref="G6:G8"/>
    <mergeCell ref="I6:I8"/>
    <mergeCell ref="A29:D30"/>
    <mergeCell ref="E29:G30"/>
    <mergeCell ref="H27:R28"/>
    <mergeCell ref="H29:R32"/>
    <mergeCell ref="A31:D31"/>
    <mergeCell ref="E31:G31"/>
    <mergeCell ref="A32:D32"/>
    <mergeCell ref="E32:G32"/>
    <mergeCell ref="A5:R5"/>
    <mergeCell ref="A26:R26"/>
    <mergeCell ref="O6:O8"/>
    <mergeCell ref="P6:P8"/>
    <mergeCell ref="L6:L8"/>
    <mergeCell ref="N6:N8"/>
    <mergeCell ref="J6:J8"/>
    <mergeCell ref="K6:K8"/>
    <mergeCell ref="B20:C20"/>
    <mergeCell ref="R6:R8"/>
    <mergeCell ref="Q6:Q8"/>
  </mergeCells>
  <pageMargins left="0.511811024" right="0.511811024" top="1.1401041666666667" bottom="0.78740157499999996" header="0.31496062000000002" footer="0.31496062000000002"/>
  <pageSetup paperSize="9" scale="55" fitToHeight="0" orientation="landscape" r:id="rId1"/>
  <headerFooter>
    <oddHeader>&amp;C&amp;G</oddHeader>
    <oddFooter>&amp;CRua Rui Barbosa, 310 - Centro - Araputanga-MT – Cel: (65) 99613-9294 E-mail: carolina.o.almeida@hotmail.com / escalaprojeta@gmail.com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8"/>
  <sheetViews>
    <sheetView workbookViewId="0">
      <selection activeCell="G31" sqref="G31"/>
    </sheetView>
  </sheetViews>
  <sheetFormatPr defaultColWidth="12.625" defaultRowHeight="15" customHeight="1" x14ac:dyDescent="0.2"/>
  <cols>
    <col min="1" max="1" width="11.875" customWidth="1"/>
    <col min="2" max="2" width="16.75" customWidth="1"/>
    <col min="3" max="3" width="14.625" customWidth="1"/>
    <col min="4" max="4" width="12.5" customWidth="1"/>
    <col min="5" max="5" width="16.5" customWidth="1"/>
    <col min="6" max="6" width="12.5" customWidth="1"/>
    <col min="7" max="7" width="12" customWidth="1"/>
    <col min="8" max="8" width="12.5" customWidth="1"/>
    <col min="9" max="9" width="15.5" customWidth="1"/>
    <col min="10" max="10" width="12.125" customWidth="1"/>
    <col min="11" max="11" width="12.375" customWidth="1"/>
    <col min="12" max="23" width="7.625" customWidth="1"/>
  </cols>
  <sheetData>
    <row r="1" spans="1:11" ht="14.25" x14ac:dyDescent="0.2">
      <c r="A1" s="56" t="s">
        <v>0</v>
      </c>
      <c r="B1" s="411" t="str">
        <f>PLANILHA!B1</f>
        <v>Construção de rede de drenagem pluvial</v>
      </c>
      <c r="C1" s="374"/>
      <c r="D1" s="374"/>
      <c r="E1" s="374"/>
      <c r="F1" s="374"/>
      <c r="G1" s="374"/>
      <c r="H1" s="374"/>
      <c r="I1" s="374"/>
      <c r="J1" s="374"/>
      <c r="K1" s="374"/>
    </row>
    <row r="2" spans="1:11" ht="14.25" x14ac:dyDescent="0.2">
      <c r="A2" s="56" t="s">
        <v>1</v>
      </c>
      <c r="B2" s="411" t="str">
        <f>PLANILHA!B2</f>
        <v>Prefeitura Municipal de Indiavaí</v>
      </c>
      <c r="C2" s="374"/>
      <c r="D2" s="374"/>
      <c r="E2" s="374"/>
      <c r="F2" s="374"/>
      <c r="G2" s="374"/>
      <c r="H2" s="374"/>
      <c r="I2" s="374"/>
      <c r="J2" s="374"/>
      <c r="K2" s="374"/>
    </row>
    <row r="3" spans="1:11" ht="14.25" x14ac:dyDescent="0.2">
      <c r="A3" s="56" t="s">
        <v>2</v>
      </c>
      <c r="B3" s="411" t="str">
        <f>PLANILHA!B3</f>
        <v>Avenida Governador Jayme Campos</v>
      </c>
      <c r="C3" s="374"/>
      <c r="D3" s="374"/>
      <c r="E3" s="374"/>
      <c r="F3" s="374"/>
      <c r="G3" s="374"/>
      <c r="H3" s="374"/>
      <c r="I3" s="374"/>
      <c r="J3" s="374"/>
      <c r="K3" s="374"/>
    </row>
    <row r="4" spans="1:11" thickBot="1" x14ac:dyDescent="0.25">
      <c r="A4" s="57" t="s">
        <v>3</v>
      </c>
      <c r="B4" s="412" t="str">
        <f>DESCRIÇÃO!B4</f>
        <v>30 de julho de 2021</v>
      </c>
      <c r="C4" s="413"/>
      <c r="D4" s="413"/>
      <c r="E4" s="413"/>
      <c r="F4" s="413"/>
      <c r="G4" s="413"/>
      <c r="H4" s="413"/>
      <c r="I4" s="413"/>
      <c r="J4" s="413"/>
      <c r="K4" s="413"/>
    </row>
    <row r="5" spans="1:11" ht="15.75" thickBot="1" x14ac:dyDescent="0.25">
      <c r="A5" s="414" t="s">
        <v>197</v>
      </c>
      <c r="B5" s="415"/>
      <c r="C5" s="415"/>
      <c r="D5" s="415"/>
      <c r="E5" s="415"/>
      <c r="F5" s="415"/>
      <c r="G5" s="415"/>
      <c r="H5" s="415"/>
      <c r="I5" s="415"/>
      <c r="J5" s="415"/>
      <c r="K5" s="416"/>
    </row>
    <row r="6" spans="1:11" ht="15" customHeight="1" x14ac:dyDescent="0.2">
      <c r="A6" s="421" t="s">
        <v>149</v>
      </c>
      <c r="B6" s="448" t="s">
        <v>174</v>
      </c>
      <c r="C6" s="419" t="s">
        <v>176</v>
      </c>
      <c r="D6" s="417" t="s">
        <v>177</v>
      </c>
      <c r="E6" s="417" t="s">
        <v>178</v>
      </c>
      <c r="F6" s="417" t="s">
        <v>179</v>
      </c>
      <c r="G6" s="417" t="s">
        <v>180</v>
      </c>
      <c r="H6" s="417" t="s">
        <v>181</v>
      </c>
      <c r="I6" s="417" t="s">
        <v>182</v>
      </c>
      <c r="J6" s="417" t="s">
        <v>158</v>
      </c>
      <c r="K6" s="409" t="s">
        <v>159</v>
      </c>
    </row>
    <row r="7" spans="1:11" ht="14.25" customHeight="1" x14ac:dyDescent="0.2">
      <c r="A7" s="422"/>
      <c r="B7" s="433"/>
      <c r="C7" s="420"/>
      <c r="D7" s="418"/>
      <c r="E7" s="418"/>
      <c r="F7" s="418"/>
      <c r="G7" s="418"/>
      <c r="H7" s="418"/>
      <c r="I7" s="418"/>
      <c r="J7" s="418"/>
      <c r="K7" s="410"/>
    </row>
    <row r="8" spans="1:11" ht="36.75" customHeight="1" x14ac:dyDescent="0.2">
      <c r="A8" s="422"/>
      <c r="B8" s="419"/>
      <c r="C8" s="420"/>
      <c r="D8" s="418"/>
      <c r="E8" s="418"/>
      <c r="F8" s="418"/>
      <c r="G8" s="418"/>
      <c r="H8" s="418"/>
      <c r="I8" s="418"/>
      <c r="J8" s="418"/>
      <c r="K8" s="410"/>
    </row>
    <row r="9" spans="1:11" ht="14.25" x14ac:dyDescent="0.2">
      <c r="A9" s="104" t="s">
        <v>173</v>
      </c>
      <c r="B9" s="102" t="s">
        <v>218</v>
      </c>
      <c r="C9" s="102">
        <f t="shared" ref="C9:C18" si="0">IF(B9="PVI02",0.8,IF(B9="PVI03",1,IF(B9="PVI04",1.3,IF(B9="PVI05",1.5,IF(B9="PVI06",1.8)))))</f>
        <v>1.3</v>
      </c>
      <c r="D9" s="102">
        <v>1.9</v>
      </c>
      <c r="E9" s="102">
        <f>IF(B9="PVI02",1.3,IF(B9="PVI03",1.4,IF(B9="PVI04",1.5,IF(B9="PVI05",1.7,IF(B9="PVI06",2)))))</f>
        <v>1.5</v>
      </c>
      <c r="F9" s="102">
        <f>C9+I9</f>
        <v>1.8</v>
      </c>
      <c r="G9" s="102">
        <f>D9+0.6</f>
        <v>2.5</v>
      </c>
      <c r="H9" s="102">
        <f>E9+0.6</f>
        <v>2.1</v>
      </c>
      <c r="I9" s="102">
        <v>0.5</v>
      </c>
      <c r="J9" s="102">
        <f>F9*G9*H9</f>
        <v>9.4500000000000011</v>
      </c>
      <c r="K9" s="105">
        <f>J9-(C9*D9*E9)</f>
        <v>5.745000000000001</v>
      </c>
    </row>
    <row r="10" spans="1:11" ht="14.25" x14ac:dyDescent="0.2">
      <c r="A10" s="104" t="s">
        <v>183</v>
      </c>
      <c r="B10" s="102" t="s">
        <v>218</v>
      </c>
      <c r="C10" s="102">
        <f t="shared" si="0"/>
        <v>1.3</v>
      </c>
      <c r="D10" s="102">
        <v>1.9</v>
      </c>
      <c r="E10" s="102">
        <f>IF(B10="PVI02",1.3,IF(B10="PVI03",1.4,IF(B10="PVI04",1.5,IF(B10="PVI05",1.7,IF(B10="PVI06",2)))))</f>
        <v>1.5</v>
      </c>
      <c r="F10" s="102">
        <f>C10+I10</f>
        <v>1.96</v>
      </c>
      <c r="G10" s="102">
        <f>D10+0.6</f>
        <v>2.5</v>
      </c>
      <c r="H10" s="102">
        <f>E10+0.6</f>
        <v>2.1</v>
      </c>
      <c r="I10" s="102">
        <v>0.66</v>
      </c>
      <c r="J10" s="102">
        <f>F10*G10*H10</f>
        <v>10.290000000000001</v>
      </c>
      <c r="K10" s="105">
        <f>J10-(C10*D10*E10)</f>
        <v>6.5850000000000009</v>
      </c>
    </row>
    <row r="11" spans="1:11" ht="14.25" x14ac:dyDescent="0.2">
      <c r="A11" s="104" t="s">
        <v>184</v>
      </c>
      <c r="B11" s="102" t="s">
        <v>218</v>
      </c>
      <c r="C11" s="102">
        <f t="shared" si="0"/>
        <v>1.3</v>
      </c>
      <c r="D11" s="102">
        <v>1.9</v>
      </c>
      <c r="E11" s="102">
        <f t="shared" ref="E11:E17" si="1">IF(B11="PVI02",1.3,IF(B11="PVI03",1.4,IF(B11="PVI04",1.5,IF(B11="PVI05",1.7,IF(B11="PVI06",2)))))</f>
        <v>1.5</v>
      </c>
      <c r="F11" s="102">
        <f t="shared" ref="F11:F17" si="2">C11+I11</f>
        <v>2.2000000000000002</v>
      </c>
      <c r="G11" s="102">
        <f t="shared" ref="G11:G17" si="3">D11+0.6</f>
        <v>2.5</v>
      </c>
      <c r="H11" s="102">
        <f t="shared" ref="H11:H17" si="4">E11+0.6</f>
        <v>2.1</v>
      </c>
      <c r="I11" s="102">
        <v>0.9</v>
      </c>
      <c r="J11" s="102">
        <f t="shared" ref="J11:J17" si="5">F11*G11*H11</f>
        <v>11.55</v>
      </c>
      <c r="K11" s="105">
        <f t="shared" ref="K11:K17" si="6">J11-(C11*D11*E11)</f>
        <v>7.8450000000000006</v>
      </c>
    </row>
    <row r="12" spans="1:11" ht="14.25" x14ac:dyDescent="0.2">
      <c r="A12" s="104" t="s">
        <v>185</v>
      </c>
      <c r="B12" s="102" t="s">
        <v>218</v>
      </c>
      <c r="C12" s="102">
        <f t="shared" si="0"/>
        <v>1.3</v>
      </c>
      <c r="D12" s="102">
        <v>1.9</v>
      </c>
      <c r="E12" s="102">
        <f t="shared" si="1"/>
        <v>1.5</v>
      </c>
      <c r="F12" s="102">
        <f t="shared" si="2"/>
        <v>4.18</v>
      </c>
      <c r="G12" s="102">
        <f t="shared" si="3"/>
        <v>2.5</v>
      </c>
      <c r="H12" s="102">
        <f t="shared" si="4"/>
        <v>2.1</v>
      </c>
      <c r="I12" s="102">
        <v>2.88</v>
      </c>
      <c r="J12" s="102">
        <f t="shared" si="5"/>
        <v>21.945</v>
      </c>
      <c r="K12" s="105">
        <f t="shared" si="6"/>
        <v>18.240000000000002</v>
      </c>
    </row>
    <row r="13" spans="1:11" ht="14.25" x14ac:dyDescent="0.2">
      <c r="A13" s="104" t="s">
        <v>186</v>
      </c>
      <c r="B13" s="102" t="s">
        <v>218</v>
      </c>
      <c r="C13" s="102">
        <f t="shared" si="0"/>
        <v>1.3</v>
      </c>
      <c r="D13" s="102">
        <v>1.9</v>
      </c>
      <c r="E13" s="102">
        <f t="shared" si="1"/>
        <v>1.5</v>
      </c>
      <c r="F13" s="102">
        <f t="shared" si="2"/>
        <v>2.91</v>
      </c>
      <c r="G13" s="102">
        <f t="shared" si="3"/>
        <v>2.5</v>
      </c>
      <c r="H13" s="102">
        <f t="shared" si="4"/>
        <v>2.1</v>
      </c>
      <c r="I13" s="102">
        <v>1.61</v>
      </c>
      <c r="J13" s="102">
        <f t="shared" si="5"/>
        <v>15.277500000000002</v>
      </c>
      <c r="K13" s="105">
        <f t="shared" si="6"/>
        <v>11.572500000000002</v>
      </c>
    </row>
    <row r="14" spans="1:11" ht="14.25" x14ac:dyDescent="0.2">
      <c r="A14" s="104" t="s">
        <v>187</v>
      </c>
      <c r="B14" s="102" t="s">
        <v>175</v>
      </c>
      <c r="C14" s="102">
        <f t="shared" si="0"/>
        <v>1.8</v>
      </c>
      <c r="D14" s="102">
        <v>1.9</v>
      </c>
      <c r="E14" s="102">
        <f t="shared" si="1"/>
        <v>2</v>
      </c>
      <c r="F14" s="102">
        <f t="shared" si="2"/>
        <v>2.2999999999999998</v>
      </c>
      <c r="G14" s="102">
        <f t="shared" si="3"/>
        <v>2.5</v>
      </c>
      <c r="H14" s="102">
        <f t="shared" si="4"/>
        <v>2.6</v>
      </c>
      <c r="I14" s="102">
        <v>0.5</v>
      </c>
      <c r="J14" s="102">
        <f t="shared" si="5"/>
        <v>14.950000000000001</v>
      </c>
      <c r="K14" s="105">
        <f t="shared" si="6"/>
        <v>8.1100000000000012</v>
      </c>
    </row>
    <row r="15" spans="1:11" ht="14.25" x14ac:dyDescent="0.2">
      <c r="A15" s="104" t="s">
        <v>188</v>
      </c>
      <c r="B15" s="102" t="s">
        <v>175</v>
      </c>
      <c r="C15" s="102">
        <f t="shared" si="0"/>
        <v>1.8</v>
      </c>
      <c r="D15" s="102">
        <v>1.9</v>
      </c>
      <c r="E15" s="102">
        <f t="shared" si="1"/>
        <v>2</v>
      </c>
      <c r="F15" s="102">
        <f t="shared" si="2"/>
        <v>2.2999999999999998</v>
      </c>
      <c r="G15" s="102">
        <f t="shared" si="3"/>
        <v>2.5</v>
      </c>
      <c r="H15" s="102">
        <f t="shared" si="4"/>
        <v>2.6</v>
      </c>
      <c r="I15" s="102">
        <v>0.5</v>
      </c>
      <c r="J15" s="102">
        <f t="shared" si="5"/>
        <v>14.950000000000001</v>
      </c>
      <c r="K15" s="105">
        <f t="shared" si="6"/>
        <v>8.1100000000000012</v>
      </c>
    </row>
    <row r="16" spans="1:11" ht="14.25" x14ac:dyDescent="0.2">
      <c r="A16" s="104" t="s">
        <v>189</v>
      </c>
      <c r="B16" s="102" t="s">
        <v>175</v>
      </c>
      <c r="C16" s="102">
        <f t="shared" si="0"/>
        <v>1.8</v>
      </c>
      <c r="D16" s="102">
        <v>1.9</v>
      </c>
      <c r="E16" s="102">
        <f t="shared" si="1"/>
        <v>2</v>
      </c>
      <c r="F16" s="102">
        <f t="shared" si="2"/>
        <v>2.33</v>
      </c>
      <c r="G16" s="102">
        <f t="shared" si="3"/>
        <v>2.5</v>
      </c>
      <c r="H16" s="102">
        <f t="shared" si="4"/>
        <v>2.6</v>
      </c>
      <c r="I16" s="102">
        <v>0.53</v>
      </c>
      <c r="J16" s="102">
        <f t="shared" si="5"/>
        <v>15.145000000000001</v>
      </c>
      <c r="K16" s="105">
        <f t="shared" si="6"/>
        <v>8.3050000000000015</v>
      </c>
    </row>
    <row r="17" spans="1:11" ht="14.25" x14ac:dyDescent="0.2">
      <c r="A17" s="104" t="s">
        <v>190</v>
      </c>
      <c r="B17" s="102" t="s">
        <v>175</v>
      </c>
      <c r="C17" s="102">
        <f t="shared" si="0"/>
        <v>1.8</v>
      </c>
      <c r="D17" s="102">
        <v>1.9</v>
      </c>
      <c r="E17" s="102">
        <f t="shared" si="1"/>
        <v>2</v>
      </c>
      <c r="F17" s="102">
        <f t="shared" si="2"/>
        <v>2.2999999999999998</v>
      </c>
      <c r="G17" s="102">
        <f t="shared" si="3"/>
        <v>2.5</v>
      </c>
      <c r="H17" s="102">
        <f t="shared" si="4"/>
        <v>2.6</v>
      </c>
      <c r="I17" s="102">
        <v>0.5</v>
      </c>
      <c r="J17" s="102">
        <f t="shared" si="5"/>
        <v>14.950000000000001</v>
      </c>
      <c r="K17" s="105">
        <f t="shared" si="6"/>
        <v>8.1100000000000012</v>
      </c>
    </row>
    <row r="18" spans="1:11" ht="14.25" x14ac:dyDescent="0.2">
      <c r="A18" s="104" t="s">
        <v>217</v>
      </c>
      <c r="B18" s="102" t="s">
        <v>175</v>
      </c>
      <c r="C18" s="102">
        <f t="shared" si="0"/>
        <v>1.8</v>
      </c>
      <c r="D18" s="102">
        <v>1.9</v>
      </c>
      <c r="E18" s="102">
        <f>IF(B18="PVI02",1.3,IF(B18="PVI03",1.4,IF(B18="PVI04",1.5,IF(B18="PVI05",1.7,IF(B18="PVI06",2)))))</f>
        <v>2</v>
      </c>
      <c r="F18" s="102">
        <f>C18+I18</f>
        <v>2.2999999999999998</v>
      </c>
      <c r="G18" s="102">
        <f>D18+0.6</f>
        <v>2.5</v>
      </c>
      <c r="H18" s="102">
        <f>E18+0.6</f>
        <v>2.6</v>
      </c>
      <c r="I18" s="102">
        <v>0.5</v>
      </c>
      <c r="J18" s="102">
        <f>F18*G18*H18</f>
        <v>14.950000000000001</v>
      </c>
      <c r="K18" s="105">
        <f>J18-(C18*D18*E18)</f>
        <v>8.1100000000000012</v>
      </c>
    </row>
    <row r="19" spans="1:11" ht="15.75" customHeight="1" thickBot="1" x14ac:dyDescent="0.25">
      <c r="A19" s="449" t="s">
        <v>170</v>
      </c>
      <c r="B19" s="450"/>
      <c r="C19" s="450"/>
      <c r="D19" s="450"/>
      <c r="E19" s="450"/>
      <c r="F19" s="450"/>
      <c r="G19" s="450"/>
      <c r="H19" s="450"/>
      <c r="I19" s="451"/>
      <c r="J19" s="107">
        <f>SUM(J9:J17)</f>
        <v>128.50749999999999</v>
      </c>
      <c r="K19" s="107">
        <f>SUM(K9:K17)</f>
        <v>82.622500000000016</v>
      </c>
    </row>
    <row r="20" spans="1:11" ht="15.75" customHeight="1" x14ac:dyDescent="0.2">
      <c r="A20" s="288" t="s">
        <v>137</v>
      </c>
      <c r="B20" s="313"/>
      <c r="C20" s="313"/>
      <c r="D20" s="288" t="s">
        <v>138</v>
      </c>
      <c r="E20" s="313"/>
      <c r="F20" s="289"/>
      <c r="G20" s="364" t="s">
        <v>142</v>
      </c>
      <c r="H20" s="365"/>
      <c r="I20" s="365"/>
      <c r="J20" s="365"/>
      <c r="K20" s="366"/>
    </row>
    <row r="21" spans="1:11" ht="15.75" customHeight="1" thickBot="1" x14ac:dyDescent="0.25">
      <c r="A21" s="290"/>
      <c r="B21" s="314"/>
      <c r="C21" s="314"/>
      <c r="D21" s="290"/>
      <c r="E21" s="314"/>
      <c r="F21" s="291"/>
      <c r="G21" s="367"/>
      <c r="H21" s="368"/>
      <c r="I21" s="368"/>
      <c r="J21" s="368"/>
      <c r="K21" s="369"/>
    </row>
    <row r="22" spans="1:11" ht="15.75" customHeight="1" x14ac:dyDescent="0.2">
      <c r="A22" s="321"/>
      <c r="B22" s="322"/>
      <c r="C22" s="322"/>
      <c r="D22" s="321"/>
      <c r="E22" s="322"/>
      <c r="F22" s="323"/>
      <c r="G22" s="370"/>
      <c r="H22" s="371"/>
      <c r="I22" s="371"/>
      <c r="J22" s="371"/>
      <c r="K22" s="372"/>
    </row>
    <row r="23" spans="1:11" ht="15.75" customHeight="1" x14ac:dyDescent="0.2">
      <c r="A23" s="264"/>
      <c r="B23" s="265"/>
      <c r="C23" s="265"/>
      <c r="D23" s="264"/>
      <c r="E23" s="265"/>
      <c r="F23" s="324"/>
      <c r="G23" s="373"/>
      <c r="H23" s="374"/>
      <c r="I23" s="374"/>
      <c r="J23" s="374"/>
      <c r="K23" s="375"/>
    </row>
    <row r="24" spans="1:11" ht="15.75" customHeight="1" x14ac:dyDescent="0.2">
      <c r="A24" s="318" t="s">
        <v>13</v>
      </c>
      <c r="B24" s="319"/>
      <c r="C24" s="319"/>
      <c r="D24" s="376" t="s">
        <v>140</v>
      </c>
      <c r="E24" s="377"/>
      <c r="F24" s="378"/>
      <c r="G24" s="379"/>
      <c r="H24" s="380"/>
      <c r="I24" s="380"/>
      <c r="J24" s="380"/>
      <c r="K24" s="381"/>
    </row>
    <row r="25" spans="1:11" ht="15.75" customHeight="1" thickBot="1" x14ac:dyDescent="0.25">
      <c r="A25" s="300" t="s">
        <v>14</v>
      </c>
      <c r="B25" s="301"/>
      <c r="C25" s="301"/>
      <c r="D25" s="290" t="s">
        <v>139</v>
      </c>
      <c r="E25" s="314"/>
      <c r="F25" s="291"/>
      <c r="G25" s="382"/>
      <c r="H25" s="383"/>
      <c r="I25" s="383"/>
      <c r="J25" s="383"/>
      <c r="K25" s="384"/>
    </row>
    <row r="26" spans="1:11" ht="15.75" customHeight="1" x14ac:dyDescent="0.2">
      <c r="E26" s="12"/>
    </row>
    <row r="27" spans="1:11" ht="15.75" customHeight="1" x14ac:dyDescent="0.2"/>
    <row r="28" spans="1:11" ht="15.75" customHeight="1" x14ac:dyDescent="0.2"/>
    <row r="29" spans="1:11" ht="15.75" customHeight="1" x14ac:dyDescent="0.2"/>
    <row r="30" spans="1:11" ht="15.75" customHeight="1" x14ac:dyDescent="0.2"/>
    <row r="31" spans="1:11" ht="15.75" customHeight="1" x14ac:dyDescent="0.2"/>
    <row r="32" spans="1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30">
    <mergeCell ref="A24:C24"/>
    <mergeCell ref="D24:F24"/>
    <mergeCell ref="G24:K24"/>
    <mergeCell ref="A25:C25"/>
    <mergeCell ref="D25:F25"/>
    <mergeCell ref="G25:K25"/>
    <mergeCell ref="A20:C21"/>
    <mergeCell ref="D20:F21"/>
    <mergeCell ref="G20:K21"/>
    <mergeCell ref="A22:C23"/>
    <mergeCell ref="D22:F23"/>
    <mergeCell ref="G22:K22"/>
    <mergeCell ref="G23:K23"/>
    <mergeCell ref="A19:I19"/>
    <mergeCell ref="F6:F8"/>
    <mergeCell ref="G6:G8"/>
    <mergeCell ref="H6:H8"/>
    <mergeCell ref="I6:I8"/>
    <mergeCell ref="J6:J8"/>
    <mergeCell ref="K6:K8"/>
    <mergeCell ref="B1:K1"/>
    <mergeCell ref="B2:K2"/>
    <mergeCell ref="B3:K3"/>
    <mergeCell ref="B4:K4"/>
    <mergeCell ref="A5:K5"/>
    <mergeCell ref="A6:A8"/>
    <mergeCell ref="B6:B8"/>
    <mergeCell ref="C6:C8"/>
    <mergeCell ref="D6:D8"/>
    <mergeCell ref="E6:E8"/>
  </mergeCells>
  <phoneticPr fontId="15" type="noConversion"/>
  <pageMargins left="0.511811024" right="0.511811024" top="1.0237499999999999" bottom="0.92531249999999998" header="0" footer="0"/>
  <pageSetup paperSize="9" fitToHeight="0" orientation="landscape" r:id="rId1"/>
  <headerFooter>
    <oddFooter>&amp;CRua Rui Barbosa, 310 - Centro - Araputanga-MT – Cel: (65) 99613-9294 E-mail: carolina.o.almeida@hotmail.com / escalaprojeta@gmail.com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89"/>
  <sheetViews>
    <sheetView workbookViewId="0">
      <selection activeCell="C27" sqref="C27"/>
    </sheetView>
  </sheetViews>
  <sheetFormatPr defaultColWidth="12.625" defaultRowHeight="15" customHeight="1" x14ac:dyDescent="0.2"/>
  <cols>
    <col min="1" max="1" width="11.875" customWidth="1"/>
    <col min="2" max="2" width="16.75" customWidth="1"/>
    <col min="3" max="3" width="14.625" customWidth="1"/>
    <col min="4" max="4" width="12.5" customWidth="1"/>
    <col min="5" max="5" width="16.5" customWidth="1"/>
    <col min="6" max="6" width="12.5" customWidth="1"/>
    <col min="7" max="7" width="12" customWidth="1"/>
    <col min="8" max="8" width="12.5" customWidth="1"/>
    <col min="9" max="9" width="15.5" hidden="1" customWidth="1"/>
    <col min="10" max="10" width="12.125" customWidth="1"/>
    <col min="11" max="11" width="12.375" customWidth="1"/>
    <col min="12" max="23" width="7.625" customWidth="1"/>
  </cols>
  <sheetData>
    <row r="1" spans="1:11" ht="14.25" x14ac:dyDescent="0.2">
      <c r="A1" s="56" t="s">
        <v>0</v>
      </c>
      <c r="B1" s="411" t="str">
        <f>PLANILHA!B1</f>
        <v>Construção de rede de drenagem pluvial</v>
      </c>
      <c r="C1" s="374"/>
      <c r="D1" s="374"/>
      <c r="E1" s="374"/>
      <c r="F1" s="374"/>
      <c r="G1" s="374"/>
      <c r="H1" s="374"/>
      <c r="I1" s="374"/>
      <c r="J1" s="374"/>
      <c r="K1" s="374"/>
    </row>
    <row r="2" spans="1:11" ht="14.25" x14ac:dyDescent="0.2">
      <c r="A2" s="56" t="s">
        <v>1</v>
      </c>
      <c r="B2" s="411" t="str">
        <f>PLANILHA!B2</f>
        <v>Prefeitura Municipal de Indiavaí</v>
      </c>
      <c r="C2" s="374"/>
      <c r="D2" s="374"/>
      <c r="E2" s="374"/>
      <c r="F2" s="374"/>
      <c r="G2" s="374"/>
      <c r="H2" s="374"/>
      <c r="I2" s="374"/>
      <c r="J2" s="374"/>
      <c r="K2" s="374"/>
    </row>
    <row r="3" spans="1:11" ht="14.25" x14ac:dyDescent="0.2">
      <c r="A3" s="56" t="s">
        <v>2</v>
      </c>
      <c r="B3" s="411" t="str">
        <f>PLANILHA!B3</f>
        <v>Avenida Governador Jayme Campos</v>
      </c>
      <c r="C3" s="374"/>
      <c r="D3" s="374"/>
      <c r="E3" s="374"/>
      <c r="F3" s="374"/>
      <c r="G3" s="374"/>
      <c r="H3" s="374"/>
      <c r="I3" s="374"/>
      <c r="J3" s="374"/>
      <c r="K3" s="374"/>
    </row>
    <row r="4" spans="1:11" thickBot="1" x14ac:dyDescent="0.25">
      <c r="A4" s="57" t="s">
        <v>3</v>
      </c>
      <c r="B4" s="412" t="str">
        <f>DESCRIÇÃO!B4</f>
        <v>30 de julho de 2021</v>
      </c>
      <c r="C4" s="413"/>
      <c r="D4" s="413"/>
      <c r="E4" s="413"/>
      <c r="F4" s="413"/>
      <c r="G4" s="413"/>
      <c r="H4" s="413"/>
      <c r="I4" s="413"/>
      <c r="J4" s="413"/>
      <c r="K4" s="413"/>
    </row>
    <row r="5" spans="1:11" ht="15.75" thickBot="1" x14ac:dyDescent="0.25">
      <c r="A5" s="414" t="s">
        <v>196</v>
      </c>
      <c r="B5" s="415"/>
      <c r="C5" s="415"/>
      <c r="D5" s="415"/>
      <c r="E5" s="415"/>
      <c r="F5" s="415"/>
      <c r="G5" s="415"/>
      <c r="H5" s="415"/>
      <c r="I5" s="415"/>
      <c r="J5" s="415"/>
      <c r="K5" s="416"/>
    </row>
    <row r="6" spans="1:11" ht="15" customHeight="1" x14ac:dyDescent="0.2">
      <c r="A6" s="421" t="s">
        <v>174</v>
      </c>
      <c r="B6" s="448" t="s">
        <v>191</v>
      </c>
      <c r="C6" s="419" t="s">
        <v>192</v>
      </c>
      <c r="D6" s="417" t="s">
        <v>193</v>
      </c>
      <c r="E6" s="417" t="s">
        <v>194</v>
      </c>
      <c r="F6" s="417" t="s">
        <v>179</v>
      </c>
      <c r="G6" s="417" t="s">
        <v>180</v>
      </c>
      <c r="H6" s="417" t="s">
        <v>181</v>
      </c>
      <c r="I6" s="417" t="s">
        <v>182</v>
      </c>
      <c r="J6" s="417" t="s">
        <v>158</v>
      </c>
      <c r="K6" s="409" t="s">
        <v>159</v>
      </c>
    </row>
    <row r="7" spans="1:11" ht="14.25" customHeight="1" x14ac:dyDescent="0.2">
      <c r="A7" s="422"/>
      <c r="B7" s="433"/>
      <c r="C7" s="420"/>
      <c r="D7" s="418"/>
      <c r="E7" s="418"/>
      <c r="F7" s="418"/>
      <c r="G7" s="418"/>
      <c r="H7" s="418"/>
      <c r="I7" s="418"/>
      <c r="J7" s="418"/>
      <c r="K7" s="410"/>
    </row>
    <row r="8" spans="1:11" ht="36.75" customHeight="1" x14ac:dyDescent="0.2">
      <c r="A8" s="422"/>
      <c r="B8" s="419"/>
      <c r="C8" s="420"/>
      <c r="D8" s="418"/>
      <c r="E8" s="418"/>
      <c r="F8" s="418"/>
      <c r="G8" s="418"/>
      <c r="H8" s="418"/>
      <c r="I8" s="418"/>
      <c r="J8" s="418"/>
      <c r="K8" s="410"/>
    </row>
    <row r="9" spans="1:11" ht="14.25" x14ac:dyDescent="0.2">
      <c r="A9" s="104" t="s">
        <v>195</v>
      </c>
      <c r="B9" s="102">
        <v>24</v>
      </c>
      <c r="C9" s="102">
        <f>IF(A9="BLS01",1,IF(A9="BLS02",1.5))</f>
        <v>1</v>
      </c>
      <c r="D9" s="102">
        <v>1.4</v>
      </c>
      <c r="E9" s="102">
        <v>1</v>
      </c>
      <c r="F9" s="102">
        <f>C9+0.1</f>
        <v>1.1000000000000001</v>
      </c>
      <c r="G9" s="102">
        <f>D9+0.6</f>
        <v>2</v>
      </c>
      <c r="H9" s="102">
        <f>E9+0.6</f>
        <v>1.6</v>
      </c>
      <c r="I9" s="102">
        <v>0.5</v>
      </c>
      <c r="J9" s="102">
        <f>(F9*G9*H9)*B9</f>
        <v>84.480000000000018</v>
      </c>
      <c r="K9" s="105">
        <f>J9-((C9*D9*E9)*B9)</f>
        <v>50.880000000000024</v>
      </c>
    </row>
    <row r="10" spans="1:11" ht="15.75" customHeight="1" thickBot="1" x14ac:dyDescent="0.25">
      <c r="A10" s="449" t="s">
        <v>170</v>
      </c>
      <c r="B10" s="450"/>
      <c r="C10" s="450"/>
      <c r="D10" s="450"/>
      <c r="E10" s="450"/>
      <c r="F10" s="450"/>
      <c r="G10" s="450"/>
      <c r="H10" s="450"/>
      <c r="I10" s="451"/>
      <c r="J10" s="107">
        <f>SUM(J9:J9)</f>
        <v>84.480000000000018</v>
      </c>
      <c r="K10" s="107">
        <f>SUM(K9:K9)</f>
        <v>50.880000000000024</v>
      </c>
    </row>
    <row r="11" spans="1:11" ht="15.75" customHeight="1" x14ac:dyDescent="0.2">
      <c r="A11" s="288" t="s">
        <v>137</v>
      </c>
      <c r="B11" s="313"/>
      <c r="C11" s="313"/>
      <c r="D11" s="288" t="s">
        <v>138</v>
      </c>
      <c r="E11" s="313"/>
      <c r="F11" s="289"/>
      <c r="G11" s="364" t="s">
        <v>142</v>
      </c>
      <c r="H11" s="365"/>
      <c r="I11" s="365"/>
      <c r="J11" s="365"/>
      <c r="K11" s="366"/>
    </row>
    <row r="12" spans="1:11" ht="15.75" customHeight="1" thickBot="1" x14ac:dyDescent="0.25">
      <c r="A12" s="290"/>
      <c r="B12" s="314"/>
      <c r="C12" s="314"/>
      <c r="D12" s="290"/>
      <c r="E12" s="314"/>
      <c r="F12" s="291"/>
      <c r="G12" s="367"/>
      <c r="H12" s="368"/>
      <c r="I12" s="368"/>
      <c r="J12" s="368"/>
      <c r="K12" s="369"/>
    </row>
    <row r="13" spans="1:11" ht="15.75" customHeight="1" x14ac:dyDescent="0.2">
      <c r="A13" s="321"/>
      <c r="B13" s="322"/>
      <c r="C13" s="322"/>
      <c r="D13" s="321"/>
      <c r="E13" s="322"/>
      <c r="F13" s="323"/>
      <c r="G13" s="370"/>
      <c r="H13" s="371"/>
      <c r="I13" s="371"/>
      <c r="J13" s="371"/>
      <c r="K13" s="372"/>
    </row>
    <row r="14" spans="1:11" ht="15.75" customHeight="1" x14ac:dyDescent="0.2">
      <c r="A14" s="264"/>
      <c r="B14" s="265"/>
      <c r="C14" s="265"/>
      <c r="D14" s="264"/>
      <c r="E14" s="265"/>
      <c r="F14" s="324"/>
      <c r="G14" s="373"/>
      <c r="H14" s="374"/>
      <c r="I14" s="374"/>
      <c r="J14" s="374"/>
      <c r="K14" s="375"/>
    </row>
    <row r="15" spans="1:11" ht="15.75" customHeight="1" x14ac:dyDescent="0.2">
      <c r="A15" s="318" t="s">
        <v>13</v>
      </c>
      <c r="B15" s="319"/>
      <c r="C15" s="319"/>
      <c r="D15" s="376" t="s">
        <v>140</v>
      </c>
      <c r="E15" s="377"/>
      <c r="F15" s="378"/>
      <c r="G15" s="379"/>
      <c r="H15" s="380"/>
      <c r="I15" s="380"/>
      <c r="J15" s="380"/>
      <c r="K15" s="381"/>
    </row>
    <row r="16" spans="1:11" ht="15.75" customHeight="1" thickBot="1" x14ac:dyDescent="0.25">
      <c r="A16" s="300" t="s">
        <v>14</v>
      </c>
      <c r="B16" s="301"/>
      <c r="C16" s="301"/>
      <c r="D16" s="290" t="s">
        <v>139</v>
      </c>
      <c r="E16" s="314"/>
      <c r="F16" s="291"/>
      <c r="G16" s="382"/>
      <c r="H16" s="383"/>
      <c r="I16" s="383"/>
      <c r="J16" s="383"/>
      <c r="K16" s="384"/>
    </row>
    <row r="17" spans="5:5" ht="15.75" customHeight="1" x14ac:dyDescent="0.2">
      <c r="E17" s="12"/>
    </row>
    <row r="18" spans="5:5" ht="15.75" customHeight="1" x14ac:dyDescent="0.2"/>
    <row r="19" spans="5:5" ht="15.75" customHeight="1" x14ac:dyDescent="0.2"/>
    <row r="20" spans="5:5" ht="15.75" customHeight="1" x14ac:dyDescent="0.2"/>
    <row r="21" spans="5:5" ht="15.75" customHeight="1" x14ac:dyDescent="0.2"/>
    <row r="22" spans="5:5" ht="15.75" customHeight="1" x14ac:dyDescent="0.2"/>
    <row r="23" spans="5:5" ht="15.75" customHeight="1" x14ac:dyDescent="0.2"/>
    <row r="24" spans="5:5" ht="15.75" customHeight="1" x14ac:dyDescent="0.2"/>
    <row r="25" spans="5:5" ht="15.75" customHeight="1" x14ac:dyDescent="0.2"/>
    <row r="26" spans="5:5" ht="15.75" customHeight="1" x14ac:dyDescent="0.2"/>
    <row r="27" spans="5:5" ht="15.75" customHeight="1" x14ac:dyDescent="0.2"/>
    <row r="28" spans="5:5" ht="15.75" customHeight="1" x14ac:dyDescent="0.2"/>
    <row r="29" spans="5:5" ht="15.75" customHeight="1" x14ac:dyDescent="0.2"/>
    <row r="30" spans="5:5" ht="15.75" customHeight="1" x14ac:dyDescent="0.2"/>
    <row r="31" spans="5:5" ht="15.75" customHeight="1" x14ac:dyDescent="0.2"/>
    <row r="32" spans="5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mergeCells count="30">
    <mergeCell ref="A15:C15"/>
    <mergeCell ref="D15:F15"/>
    <mergeCell ref="G15:K15"/>
    <mergeCell ref="A16:C16"/>
    <mergeCell ref="D16:F16"/>
    <mergeCell ref="G16:K16"/>
    <mergeCell ref="A10:I10"/>
    <mergeCell ref="A11:C12"/>
    <mergeCell ref="D11:F12"/>
    <mergeCell ref="G11:K12"/>
    <mergeCell ref="A13:C14"/>
    <mergeCell ref="D13:F14"/>
    <mergeCell ref="G13:K13"/>
    <mergeCell ref="G14:K14"/>
    <mergeCell ref="K6:K8"/>
    <mergeCell ref="B1:K1"/>
    <mergeCell ref="B2:K2"/>
    <mergeCell ref="B3:K3"/>
    <mergeCell ref="B4:K4"/>
    <mergeCell ref="A5:K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</mergeCells>
  <phoneticPr fontId="15" type="noConversion"/>
  <pageMargins left="0.511811024" right="0.511811024" top="1.0237499999999999" bottom="0.92531249999999998" header="0" footer="0"/>
  <pageSetup paperSize="9" fitToHeight="0" orientation="landscape" r:id="rId1"/>
  <headerFooter>
    <oddFooter>&amp;CRua Rui Barbosa, 310 - Centro - Araputanga-MT – Cel: (65) 99613-9294 E-mail: carolina.o.almeida@hotmail.com / escalaprojeta@gmail.com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2"/>
  <sheetViews>
    <sheetView workbookViewId="0">
      <selection activeCell="G26" sqref="G26:K26"/>
    </sheetView>
  </sheetViews>
  <sheetFormatPr defaultColWidth="12.625" defaultRowHeight="15" customHeight="1" x14ac:dyDescent="0.2"/>
  <cols>
    <col min="1" max="1" width="16.5" customWidth="1"/>
    <col min="2" max="2" width="16.75" customWidth="1"/>
    <col min="3" max="3" width="14.625" customWidth="1"/>
    <col min="4" max="4" width="14.25" customWidth="1"/>
    <col min="5" max="5" width="16.5" customWidth="1"/>
    <col min="6" max="6" width="14.375" customWidth="1"/>
    <col min="7" max="7" width="12" customWidth="1"/>
    <col min="8" max="8" width="12.5" customWidth="1"/>
    <col min="9" max="9" width="15.5" customWidth="1"/>
    <col min="10" max="10" width="13.875" customWidth="1"/>
    <col min="11" max="11" width="11.375" customWidth="1"/>
    <col min="12" max="23" width="7.625" customWidth="1"/>
  </cols>
  <sheetData>
    <row r="1" spans="1:11" ht="14.25" x14ac:dyDescent="0.2">
      <c r="A1" s="56" t="s">
        <v>0</v>
      </c>
      <c r="B1" s="411" t="str">
        <f>PLANILHA!B1</f>
        <v>Construção de rede de drenagem pluvial</v>
      </c>
      <c r="C1" s="374"/>
      <c r="D1" s="374"/>
      <c r="E1" s="374"/>
      <c r="F1" s="374"/>
      <c r="G1" s="374"/>
      <c r="H1" s="374"/>
      <c r="I1" s="374"/>
      <c r="J1" s="374"/>
      <c r="K1" s="374"/>
    </row>
    <row r="2" spans="1:11" ht="14.25" x14ac:dyDescent="0.2">
      <c r="A2" s="56" t="s">
        <v>1</v>
      </c>
      <c r="B2" s="411" t="str">
        <f>PLANILHA!B2</f>
        <v>Prefeitura Municipal de Indiavaí</v>
      </c>
      <c r="C2" s="374"/>
      <c r="D2" s="374"/>
      <c r="E2" s="374"/>
      <c r="F2" s="374"/>
      <c r="G2" s="374"/>
      <c r="H2" s="374"/>
      <c r="I2" s="374"/>
      <c r="J2" s="374"/>
      <c r="K2" s="374"/>
    </row>
    <row r="3" spans="1:11" ht="14.25" x14ac:dyDescent="0.2">
      <c r="A3" s="56" t="s">
        <v>2</v>
      </c>
      <c r="B3" s="411" t="str">
        <f>PLANILHA!B3</f>
        <v>Avenida Governador Jayme Campos</v>
      </c>
      <c r="C3" s="374"/>
      <c r="D3" s="374"/>
      <c r="E3" s="374"/>
      <c r="F3" s="374"/>
      <c r="G3" s="374"/>
      <c r="H3" s="374"/>
      <c r="I3" s="374"/>
      <c r="J3" s="374"/>
      <c r="K3" s="374"/>
    </row>
    <row r="4" spans="1:11" thickBot="1" x14ac:dyDescent="0.25">
      <c r="A4" s="57" t="s">
        <v>3</v>
      </c>
      <c r="B4" s="412" t="str">
        <f>DESCRIÇÃO!B4</f>
        <v>30 de julho de 2021</v>
      </c>
      <c r="C4" s="413"/>
      <c r="D4" s="413"/>
      <c r="E4" s="413"/>
      <c r="F4" s="413"/>
      <c r="G4" s="413"/>
      <c r="H4" s="413"/>
      <c r="I4" s="413"/>
      <c r="J4" s="413"/>
      <c r="K4" s="413"/>
    </row>
    <row r="5" spans="1:11" ht="15.75" thickBot="1" x14ac:dyDescent="0.25">
      <c r="A5" s="414" t="s">
        <v>272</v>
      </c>
      <c r="B5" s="415"/>
      <c r="C5" s="415"/>
      <c r="D5" s="415"/>
      <c r="E5" s="415"/>
      <c r="F5" s="415"/>
      <c r="G5" s="415"/>
      <c r="H5" s="415"/>
      <c r="I5" s="415"/>
      <c r="J5" s="415"/>
      <c r="K5" s="416"/>
    </row>
    <row r="6" spans="1:11" ht="15.75" thickBot="1" x14ac:dyDescent="0.25">
      <c r="A6" s="477"/>
      <c r="B6" s="477"/>
      <c r="C6" s="477"/>
      <c r="D6" s="477"/>
      <c r="E6" s="477"/>
      <c r="F6" s="477"/>
      <c r="G6" s="477"/>
      <c r="H6" s="477"/>
      <c r="I6" s="477"/>
      <c r="J6" s="477"/>
      <c r="K6" s="477"/>
    </row>
    <row r="7" spans="1:11" ht="15.75" thickBot="1" x14ac:dyDescent="0.25">
      <c r="A7" s="468" t="s">
        <v>202</v>
      </c>
      <c r="B7" s="469"/>
      <c r="C7" s="469"/>
      <c r="D7" s="469"/>
      <c r="E7" s="469"/>
      <c r="F7" s="470"/>
      <c r="G7" s="108"/>
      <c r="H7" s="108"/>
      <c r="I7" s="108"/>
      <c r="J7" s="108"/>
      <c r="K7" s="108"/>
    </row>
    <row r="8" spans="1:11" ht="15" customHeight="1" x14ac:dyDescent="0.2">
      <c r="A8" s="421" t="s">
        <v>151</v>
      </c>
      <c r="B8" s="419" t="s">
        <v>153</v>
      </c>
      <c r="C8" s="419" t="s">
        <v>191</v>
      </c>
      <c r="D8" s="417" t="s">
        <v>199</v>
      </c>
      <c r="E8" s="417" t="s">
        <v>200</v>
      </c>
      <c r="F8" s="409" t="s">
        <v>201</v>
      </c>
      <c r="G8" s="467"/>
      <c r="H8" s="87"/>
      <c r="I8" s="87"/>
      <c r="J8" s="87"/>
      <c r="K8" s="87"/>
    </row>
    <row r="9" spans="1:11" ht="14.25" customHeight="1" thickBot="1" x14ac:dyDescent="0.25">
      <c r="A9" s="422"/>
      <c r="B9" s="420"/>
      <c r="C9" s="420"/>
      <c r="D9" s="418"/>
      <c r="E9" s="418"/>
      <c r="F9" s="410"/>
      <c r="G9" s="467"/>
      <c r="H9" s="87"/>
      <c r="I9" s="100"/>
      <c r="J9" s="87"/>
      <c r="K9" s="87"/>
    </row>
    <row r="10" spans="1:11" ht="36.75" customHeight="1" x14ac:dyDescent="0.2">
      <c r="A10" s="422"/>
      <c r="B10" s="420"/>
      <c r="C10" s="420"/>
      <c r="D10" s="418"/>
      <c r="E10" s="418"/>
      <c r="F10" s="410"/>
      <c r="G10" s="467"/>
      <c r="H10" s="87"/>
      <c r="I10" s="87"/>
      <c r="J10" s="478" t="s">
        <v>206</v>
      </c>
      <c r="K10" s="479"/>
    </row>
    <row r="11" spans="1:11" ht="14.25" x14ac:dyDescent="0.2">
      <c r="A11" s="158">
        <v>400</v>
      </c>
      <c r="B11" s="110">
        <f>SUM('CAL VOL. REDE COL.'!C9:C32)</f>
        <v>333.82</v>
      </c>
      <c r="C11" s="110">
        <f>ROUNDUP(B11,0)</f>
        <v>334</v>
      </c>
      <c r="D11" s="110">
        <v>0.1</v>
      </c>
      <c r="E11" s="110">
        <f>D11*C11</f>
        <v>33.4</v>
      </c>
      <c r="F11" s="111">
        <f>E11*$K$12</f>
        <v>1002</v>
      </c>
      <c r="G11" s="103"/>
      <c r="H11" s="87"/>
      <c r="I11" s="87"/>
      <c r="J11" s="117" t="s">
        <v>74</v>
      </c>
      <c r="K11" s="118" t="s">
        <v>207</v>
      </c>
    </row>
    <row r="12" spans="1:11" ht="14.25" x14ac:dyDescent="0.2">
      <c r="A12" s="158">
        <v>600</v>
      </c>
      <c r="B12" s="110">
        <f>SUM('CAL VERIFICAÇÕES'!D9:D10)</f>
        <v>198</v>
      </c>
      <c r="C12" s="110">
        <f>ROUNDUP(B12,0)</f>
        <v>198</v>
      </c>
      <c r="D12" s="110">
        <v>0.48</v>
      </c>
      <c r="E12" s="110">
        <f>D12*C12</f>
        <v>95.039999999999992</v>
      </c>
      <c r="F12" s="111">
        <f>E12*$K$12</f>
        <v>2851.2</v>
      </c>
      <c r="G12" s="103"/>
      <c r="H12" s="87"/>
      <c r="I12" s="87"/>
      <c r="J12" s="119" t="s">
        <v>205</v>
      </c>
      <c r="K12" s="120">
        <v>30</v>
      </c>
    </row>
    <row r="13" spans="1:11" ht="14.25" x14ac:dyDescent="0.2">
      <c r="A13" s="158">
        <v>800</v>
      </c>
      <c r="B13" s="110">
        <f>SUM('CAL VERIFICAÇÕES'!D11:D17)</f>
        <v>630</v>
      </c>
      <c r="C13" s="110">
        <f>ROUNDUP(B13,0)</f>
        <v>630</v>
      </c>
      <c r="D13" s="110">
        <v>0.88</v>
      </c>
      <c r="E13" s="110">
        <f>D13*C13</f>
        <v>554.4</v>
      </c>
      <c r="F13" s="111">
        <f>E13*$K$12</f>
        <v>16632</v>
      </c>
      <c r="G13" s="103"/>
      <c r="H13" s="87"/>
      <c r="I13" s="87"/>
      <c r="J13" s="119"/>
      <c r="K13" s="120"/>
    </row>
    <row r="14" spans="1:11" thickBot="1" x14ac:dyDescent="0.25">
      <c r="A14" s="158">
        <v>1000</v>
      </c>
      <c r="B14" s="110">
        <f>'CALC. DIMEN.'!C18</f>
        <v>79</v>
      </c>
      <c r="C14" s="110">
        <f>ROUNDUP(B14,0)</f>
        <v>79</v>
      </c>
      <c r="D14" s="110">
        <v>1.43</v>
      </c>
      <c r="E14" s="110">
        <f>D14*C14</f>
        <v>112.97</v>
      </c>
      <c r="F14" s="111">
        <f>E14*$K$12</f>
        <v>3389.1</v>
      </c>
      <c r="G14" s="103"/>
      <c r="H14" s="87"/>
      <c r="I14" s="87"/>
      <c r="J14" s="121"/>
      <c r="K14" s="122"/>
    </row>
    <row r="15" spans="1:11" thickBot="1" x14ac:dyDescent="0.25">
      <c r="A15" s="112">
        <v>1500</v>
      </c>
      <c r="B15" s="114">
        <v>0</v>
      </c>
      <c r="C15" s="114">
        <f>ROUNDUP(B15,0)</f>
        <v>0</v>
      </c>
      <c r="D15" s="114">
        <v>2.6</v>
      </c>
      <c r="E15" s="114">
        <f>D15*C15</f>
        <v>0</v>
      </c>
      <c r="F15" s="115">
        <f>E15*$K$12</f>
        <v>0</v>
      </c>
      <c r="G15" s="103"/>
      <c r="H15" s="87"/>
      <c r="I15" s="87"/>
      <c r="J15" s="87"/>
      <c r="K15" s="87"/>
    </row>
    <row r="16" spans="1:11" ht="14.25" x14ac:dyDescent="0.2">
      <c r="A16" s="88"/>
      <c r="B16" s="88"/>
      <c r="C16" s="103"/>
      <c r="D16" s="103"/>
      <c r="E16" s="103"/>
      <c r="F16" s="103"/>
      <c r="G16" s="103"/>
      <c r="H16" s="87"/>
      <c r="I16" s="87"/>
      <c r="J16" s="87"/>
      <c r="K16" s="87"/>
    </row>
    <row r="17" spans="1:11" ht="15.75" hidden="1" thickBot="1" x14ac:dyDescent="0.25">
      <c r="A17" s="468" t="s">
        <v>114</v>
      </c>
      <c r="B17" s="469"/>
      <c r="C17" s="469"/>
      <c r="D17" s="470"/>
      <c r="E17" s="109"/>
      <c r="F17" s="109"/>
      <c r="G17" s="108"/>
      <c r="H17" s="108"/>
      <c r="I17" s="108"/>
      <c r="J17" s="108"/>
      <c r="K17" s="108"/>
    </row>
    <row r="18" spans="1:11" ht="15" hidden="1" customHeight="1" x14ac:dyDescent="0.2">
      <c r="A18" s="475" t="s">
        <v>203</v>
      </c>
      <c r="B18" s="417" t="s">
        <v>204</v>
      </c>
      <c r="C18" s="417" t="s">
        <v>200</v>
      </c>
      <c r="D18" s="409" t="s">
        <v>201</v>
      </c>
      <c r="E18" s="467"/>
      <c r="F18" s="87"/>
      <c r="G18" s="87"/>
      <c r="H18" s="87"/>
      <c r="I18" s="87"/>
      <c r="J18" s="87"/>
      <c r="K18" s="87"/>
    </row>
    <row r="19" spans="1:11" ht="14.25" hidden="1" customHeight="1" x14ac:dyDescent="0.2">
      <c r="A19" s="476"/>
      <c r="B19" s="418"/>
      <c r="C19" s="418"/>
      <c r="D19" s="410"/>
      <c r="E19" s="467"/>
      <c r="F19" s="87"/>
      <c r="G19" s="87"/>
      <c r="H19" s="87"/>
      <c r="I19" s="87"/>
      <c r="J19" s="87"/>
      <c r="K19" s="87"/>
    </row>
    <row r="20" spans="1:11" ht="36.75" hidden="1" customHeight="1" x14ac:dyDescent="0.2">
      <c r="A20" s="476"/>
      <c r="B20" s="418"/>
      <c r="C20" s="418"/>
      <c r="D20" s="410"/>
      <c r="E20" s="467"/>
      <c r="F20" s="87"/>
      <c r="G20" s="87"/>
      <c r="H20" s="87"/>
      <c r="I20" s="87"/>
      <c r="J20" s="87"/>
      <c r="K20" s="87"/>
    </row>
    <row r="21" spans="1:11" hidden="1" thickBot="1" x14ac:dyDescent="0.25">
      <c r="A21" s="116">
        <f>'CÁLCULO DE VOL E ESC REDE PRIN.'!I19+'CAL VOL. REDE COL.'!I33</f>
        <v>131.74380000000002</v>
      </c>
      <c r="B21" s="113">
        <v>1.5</v>
      </c>
      <c r="C21" s="114">
        <f>A21*B21</f>
        <v>197.61570000000003</v>
      </c>
      <c r="D21" s="115">
        <f>C21*K13</f>
        <v>0</v>
      </c>
      <c r="E21" s="103"/>
      <c r="F21" s="87"/>
      <c r="G21" s="87"/>
      <c r="H21" s="87"/>
      <c r="I21" s="87"/>
      <c r="J21" s="87"/>
      <c r="K21" s="87"/>
    </row>
    <row r="22" spans="1:11" ht="14.25" x14ac:dyDescent="0.2">
      <c r="A22" s="103"/>
      <c r="B22" s="88"/>
      <c r="C22" s="103"/>
      <c r="D22" s="103"/>
      <c r="E22" s="103"/>
      <c r="F22" s="87"/>
      <c r="G22" s="87"/>
      <c r="H22" s="87"/>
      <c r="I22" s="87"/>
      <c r="J22" s="87"/>
      <c r="K22" s="87"/>
    </row>
    <row r="23" spans="1:11" ht="15.75" customHeight="1" thickBot="1" x14ac:dyDescent="0.25">
      <c r="A23" s="471"/>
      <c r="B23" s="471"/>
      <c r="C23" s="471"/>
      <c r="D23" s="471"/>
      <c r="E23" s="471"/>
      <c r="F23" s="471"/>
      <c r="G23" s="471"/>
      <c r="H23" s="471"/>
      <c r="I23" s="471"/>
      <c r="J23" s="471"/>
      <c r="K23" s="471"/>
    </row>
    <row r="24" spans="1:11" ht="15.75" customHeight="1" x14ac:dyDescent="0.2">
      <c r="A24" s="453" t="s">
        <v>137</v>
      </c>
      <c r="B24" s="454"/>
      <c r="C24" s="454"/>
      <c r="D24" s="454" t="s">
        <v>138</v>
      </c>
      <c r="E24" s="454"/>
      <c r="F24" s="454"/>
      <c r="G24" s="457" t="s">
        <v>142</v>
      </c>
      <c r="H24" s="457"/>
      <c r="I24" s="457"/>
      <c r="J24" s="457"/>
      <c r="K24" s="458"/>
    </row>
    <row r="25" spans="1:11" ht="15.75" customHeight="1" x14ac:dyDescent="0.2">
      <c r="A25" s="455"/>
      <c r="B25" s="456"/>
      <c r="C25" s="456"/>
      <c r="D25" s="456"/>
      <c r="E25" s="456"/>
      <c r="F25" s="456"/>
      <c r="G25" s="459"/>
      <c r="H25" s="459"/>
      <c r="I25" s="459"/>
      <c r="J25" s="459"/>
      <c r="K25" s="460"/>
    </row>
    <row r="26" spans="1:11" ht="15.75" customHeight="1" x14ac:dyDescent="0.2">
      <c r="A26" s="216"/>
      <c r="B26" s="215"/>
      <c r="C26" s="215"/>
      <c r="D26" s="215"/>
      <c r="E26" s="215"/>
      <c r="F26" s="215"/>
      <c r="G26" s="472" t="s">
        <v>274</v>
      </c>
      <c r="H26" s="473"/>
      <c r="I26" s="473"/>
      <c r="J26" s="473"/>
      <c r="K26" s="474"/>
    </row>
    <row r="27" spans="1:11" ht="15.75" customHeight="1" x14ac:dyDescent="0.2">
      <c r="A27" s="216"/>
      <c r="B27" s="215"/>
      <c r="C27" s="215"/>
      <c r="D27" s="215"/>
      <c r="E27" s="215"/>
      <c r="F27" s="215"/>
      <c r="G27" s="461"/>
      <c r="H27" s="443"/>
      <c r="I27" s="443"/>
      <c r="J27" s="443"/>
      <c r="K27" s="444"/>
    </row>
    <row r="28" spans="1:11" ht="15.75" customHeight="1" x14ac:dyDescent="0.2">
      <c r="A28" s="463" t="s">
        <v>13</v>
      </c>
      <c r="B28" s="464"/>
      <c r="C28" s="464"/>
      <c r="D28" s="456" t="s">
        <v>140</v>
      </c>
      <c r="E28" s="456"/>
      <c r="F28" s="456"/>
      <c r="G28" s="461"/>
      <c r="H28" s="443"/>
      <c r="I28" s="443"/>
      <c r="J28" s="443"/>
      <c r="K28" s="444"/>
    </row>
    <row r="29" spans="1:11" ht="15.75" customHeight="1" thickBot="1" x14ac:dyDescent="0.25">
      <c r="A29" s="465" t="s">
        <v>14</v>
      </c>
      <c r="B29" s="466"/>
      <c r="C29" s="466"/>
      <c r="D29" s="452" t="s">
        <v>139</v>
      </c>
      <c r="E29" s="452"/>
      <c r="F29" s="452"/>
      <c r="G29" s="462"/>
      <c r="H29" s="314"/>
      <c r="I29" s="314"/>
      <c r="J29" s="314"/>
      <c r="K29" s="291"/>
    </row>
    <row r="30" spans="1:11" ht="15.75" customHeight="1" x14ac:dyDescent="0.2">
      <c r="E30" s="12"/>
    </row>
    <row r="31" spans="1:11" ht="15.75" customHeight="1" x14ac:dyDescent="0.2"/>
    <row r="32" spans="1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mergeCells count="35">
    <mergeCell ref="A6:K6"/>
    <mergeCell ref="J10:K10"/>
    <mergeCell ref="G8:G10"/>
    <mergeCell ref="A8:A10"/>
    <mergeCell ref="C8:C10"/>
    <mergeCell ref="D8:D10"/>
    <mergeCell ref="E8:E10"/>
    <mergeCell ref="F8:F10"/>
    <mergeCell ref="B8:B10"/>
    <mergeCell ref="A7:F7"/>
    <mergeCell ref="E18:E20"/>
    <mergeCell ref="A17:D17"/>
    <mergeCell ref="A23:K23"/>
    <mergeCell ref="G26:K26"/>
    <mergeCell ref="G27:K27"/>
    <mergeCell ref="A18:A20"/>
    <mergeCell ref="B18:B20"/>
    <mergeCell ref="C18:C20"/>
    <mergeCell ref="D18:D20"/>
    <mergeCell ref="D29:F29"/>
    <mergeCell ref="A24:C25"/>
    <mergeCell ref="D24:F25"/>
    <mergeCell ref="G24:K25"/>
    <mergeCell ref="A26:C27"/>
    <mergeCell ref="D26:F27"/>
    <mergeCell ref="G28:K28"/>
    <mergeCell ref="G29:K29"/>
    <mergeCell ref="A28:C28"/>
    <mergeCell ref="D28:F28"/>
    <mergeCell ref="A29:C29"/>
    <mergeCell ref="B1:K1"/>
    <mergeCell ref="B2:K2"/>
    <mergeCell ref="B3:K3"/>
    <mergeCell ref="B4:K4"/>
    <mergeCell ref="A5:K5"/>
  </mergeCells>
  <pageMargins left="0.511811024" right="0.511811024" top="1.0237499999999999" bottom="0.92531249999999998" header="0" footer="0"/>
  <pageSetup paperSize="9" scale="79" fitToHeight="0" orientation="landscape" r:id="rId1"/>
  <headerFooter>
    <oddFooter>&amp;CRua Rui Barbosa, 310 - Centro - Araputanga-MT – Cel: (65) 99613-9294 E-mail: carolina.o.almeida@hotmail.com / escalaprojeta@gmail.com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2"/>
  <sheetViews>
    <sheetView workbookViewId="0">
      <selection activeCell="I11" sqref="I11"/>
    </sheetView>
  </sheetViews>
  <sheetFormatPr defaultColWidth="12.625" defaultRowHeight="15" customHeight="1" x14ac:dyDescent="0.2"/>
  <cols>
    <col min="1" max="1" width="16.5" customWidth="1"/>
    <col min="2" max="2" width="16.75" customWidth="1"/>
    <col min="3" max="3" width="14.625" customWidth="1"/>
    <col min="4" max="4" width="14.25" customWidth="1"/>
    <col min="5" max="5" width="16.5" customWidth="1"/>
    <col min="6" max="6" width="14.375" customWidth="1"/>
    <col min="7" max="7" width="12" customWidth="1"/>
    <col min="8" max="8" width="12.5" customWidth="1"/>
    <col min="9" max="9" width="15.5" customWidth="1"/>
    <col min="10" max="10" width="13.875" customWidth="1"/>
    <col min="11" max="11" width="11.375" customWidth="1"/>
    <col min="12" max="23" width="7.625" customWidth="1"/>
  </cols>
  <sheetData>
    <row r="1" spans="1:11" ht="14.25" x14ac:dyDescent="0.2">
      <c r="A1" s="56" t="s">
        <v>0</v>
      </c>
      <c r="B1" s="411" t="str">
        <f>PLANILHA!B1</f>
        <v>Construção de rede de drenagem pluvial</v>
      </c>
      <c r="C1" s="374"/>
      <c r="D1" s="374"/>
      <c r="E1" s="374"/>
      <c r="F1" s="374"/>
      <c r="G1" s="374"/>
      <c r="H1" s="374"/>
      <c r="I1" s="374"/>
      <c r="J1" s="374"/>
      <c r="K1" s="374"/>
    </row>
    <row r="2" spans="1:11" ht="14.25" x14ac:dyDescent="0.2">
      <c r="A2" s="56" t="s">
        <v>1</v>
      </c>
      <c r="B2" s="411" t="str">
        <f>PLANILHA!B2</f>
        <v>Prefeitura Municipal de Indiavaí</v>
      </c>
      <c r="C2" s="374"/>
      <c r="D2" s="374"/>
      <c r="E2" s="374"/>
      <c r="F2" s="374"/>
      <c r="G2" s="374"/>
      <c r="H2" s="374"/>
      <c r="I2" s="374"/>
      <c r="J2" s="374"/>
      <c r="K2" s="374"/>
    </row>
    <row r="3" spans="1:11" ht="14.25" x14ac:dyDescent="0.2">
      <c r="A3" s="56" t="s">
        <v>2</v>
      </c>
      <c r="B3" s="411" t="str">
        <f>PLANILHA!B3</f>
        <v>Avenida Governador Jayme Campos</v>
      </c>
      <c r="C3" s="374"/>
      <c r="D3" s="374"/>
      <c r="E3" s="374"/>
      <c r="F3" s="374"/>
      <c r="G3" s="374"/>
      <c r="H3" s="374"/>
      <c r="I3" s="374"/>
      <c r="J3" s="374"/>
      <c r="K3" s="374"/>
    </row>
    <row r="4" spans="1:11" thickBot="1" x14ac:dyDescent="0.25">
      <c r="A4" s="57" t="s">
        <v>3</v>
      </c>
      <c r="B4" s="412" t="str">
        <f>DESCRIÇÃO!B4</f>
        <v>30 de julho de 2021</v>
      </c>
      <c r="C4" s="413"/>
      <c r="D4" s="413"/>
      <c r="E4" s="413"/>
      <c r="F4" s="413"/>
      <c r="G4" s="413"/>
      <c r="H4" s="413"/>
      <c r="I4" s="413"/>
      <c r="J4" s="413"/>
      <c r="K4" s="413"/>
    </row>
    <row r="5" spans="1:11" ht="15.75" thickBot="1" x14ac:dyDescent="0.25">
      <c r="A5" s="414" t="s">
        <v>273</v>
      </c>
      <c r="B5" s="415"/>
      <c r="C5" s="415"/>
      <c r="D5" s="415"/>
      <c r="E5" s="415"/>
      <c r="F5" s="415"/>
      <c r="G5" s="415"/>
      <c r="H5" s="415"/>
      <c r="I5" s="415"/>
      <c r="J5" s="415"/>
      <c r="K5" s="416"/>
    </row>
    <row r="6" spans="1:11" ht="15.75" thickBot="1" x14ac:dyDescent="0.25">
      <c r="A6" s="477"/>
      <c r="B6" s="477"/>
      <c r="C6" s="477"/>
      <c r="D6" s="477"/>
      <c r="E6" s="477"/>
      <c r="F6" s="477"/>
      <c r="G6" s="477"/>
      <c r="H6" s="477"/>
      <c r="I6" s="477"/>
      <c r="J6" s="477"/>
      <c r="K6" s="477"/>
    </row>
    <row r="7" spans="1:11" ht="15.75" thickBot="1" x14ac:dyDescent="0.25">
      <c r="A7" s="468" t="s">
        <v>202</v>
      </c>
      <c r="B7" s="469"/>
      <c r="C7" s="469"/>
      <c r="D7" s="469"/>
      <c r="E7" s="469"/>
      <c r="F7" s="470"/>
      <c r="G7" s="108"/>
      <c r="H7" s="108"/>
      <c r="I7" s="108"/>
      <c r="J7" s="108"/>
      <c r="K7" s="108"/>
    </row>
    <row r="8" spans="1:11" ht="15" customHeight="1" x14ac:dyDescent="0.2">
      <c r="A8" s="421" t="s">
        <v>151</v>
      </c>
      <c r="B8" s="419" t="s">
        <v>153</v>
      </c>
      <c r="C8" s="419" t="s">
        <v>191</v>
      </c>
      <c r="D8" s="417" t="s">
        <v>199</v>
      </c>
      <c r="E8" s="417" t="s">
        <v>200</v>
      </c>
      <c r="F8" s="409" t="s">
        <v>201</v>
      </c>
      <c r="G8" s="467"/>
      <c r="H8" s="87"/>
      <c r="I8" s="87"/>
      <c r="J8" s="87"/>
      <c r="K8" s="87"/>
    </row>
    <row r="9" spans="1:11" ht="14.25" customHeight="1" thickBot="1" x14ac:dyDescent="0.25">
      <c r="A9" s="422"/>
      <c r="B9" s="420"/>
      <c r="C9" s="420"/>
      <c r="D9" s="418"/>
      <c r="E9" s="418"/>
      <c r="F9" s="410"/>
      <c r="G9" s="467"/>
      <c r="H9" s="87"/>
      <c r="I9" s="100"/>
      <c r="J9" s="87"/>
      <c r="K9" s="87"/>
    </row>
    <row r="10" spans="1:11" ht="36.75" customHeight="1" x14ac:dyDescent="0.2">
      <c r="A10" s="422"/>
      <c r="B10" s="420"/>
      <c r="C10" s="420"/>
      <c r="D10" s="418"/>
      <c r="E10" s="418"/>
      <c r="F10" s="410"/>
      <c r="G10" s="467"/>
      <c r="H10" s="87"/>
      <c r="I10" s="87"/>
      <c r="J10" s="478" t="s">
        <v>206</v>
      </c>
      <c r="K10" s="479"/>
    </row>
    <row r="11" spans="1:11" ht="14.25" x14ac:dyDescent="0.2">
      <c r="A11" s="158">
        <v>400</v>
      </c>
      <c r="B11" s="110">
        <f>SUM('CAL VOL. REDE COL.'!C9:C32)</f>
        <v>333.82</v>
      </c>
      <c r="C11" s="110">
        <f>ROUNDUP(B11,0)</f>
        <v>334</v>
      </c>
      <c r="D11" s="110">
        <v>0.1</v>
      </c>
      <c r="E11" s="110">
        <f>D11*C11</f>
        <v>33.4</v>
      </c>
      <c r="F11" s="111">
        <f>E11*$K$12</f>
        <v>1436.2</v>
      </c>
      <c r="G11" s="103"/>
      <c r="H11" s="87"/>
      <c r="I11" s="87"/>
      <c r="J11" s="117" t="s">
        <v>74</v>
      </c>
      <c r="K11" s="118" t="s">
        <v>207</v>
      </c>
    </row>
    <row r="12" spans="1:11" ht="14.25" x14ac:dyDescent="0.2">
      <c r="A12" s="158">
        <v>600</v>
      </c>
      <c r="B12" s="110">
        <f>SUM('CAL VERIFICAÇÕES'!D9:D10)</f>
        <v>198</v>
      </c>
      <c r="C12" s="110">
        <f>ROUNDUP(B12,0)</f>
        <v>198</v>
      </c>
      <c r="D12" s="110">
        <v>0.48</v>
      </c>
      <c r="E12" s="110">
        <f>D12*C12</f>
        <v>95.039999999999992</v>
      </c>
      <c r="F12" s="111">
        <f>E12*$K$12</f>
        <v>4086.72</v>
      </c>
      <c r="G12" s="103"/>
      <c r="H12" s="87"/>
      <c r="I12" s="87"/>
      <c r="J12" s="119" t="s">
        <v>205</v>
      </c>
      <c r="K12" s="120">
        <v>43</v>
      </c>
    </row>
    <row r="13" spans="1:11" ht="14.25" x14ac:dyDescent="0.2">
      <c r="A13" s="158">
        <v>800</v>
      </c>
      <c r="B13" s="110">
        <f>SUM('CAL VERIFICAÇÕES'!D11:D17)</f>
        <v>630</v>
      </c>
      <c r="C13" s="110">
        <f>ROUNDUP(B13,0)</f>
        <v>630</v>
      </c>
      <c r="D13" s="110">
        <v>0.88</v>
      </c>
      <c r="E13" s="110">
        <f>D13*C13</f>
        <v>554.4</v>
      </c>
      <c r="F13" s="111">
        <f>E13*$K$12</f>
        <v>23839.200000000001</v>
      </c>
      <c r="G13" s="103"/>
      <c r="H13" s="87"/>
      <c r="I13" s="87"/>
      <c r="J13" s="119"/>
      <c r="K13" s="120"/>
    </row>
    <row r="14" spans="1:11" thickBot="1" x14ac:dyDescent="0.25">
      <c r="A14" s="158">
        <v>1000</v>
      </c>
      <c r="B14" s="110">
        <f>'CALC. DIMEN.'!C18</f>
        <v>79</v>
      </c>
      <c r="C14" s="110">
        <f>ROUNDUP(B14,0)</f>
        <v>79</v>
      </c>
      <c r="D14" s="110">
        <v>1.43</v>
      </c>
      <c r="E14" s="110">
        <f>D14*C14</f>
        <v>112.97</v>
      </c>
      <c r="F14" s="111">
        <f>E14*$K$12</f>
        <v>4857.71</v>
      </c>
      <c r="G14" s="103"/>
      <c r="H14" s="87"/>
      <c r="I14" s="87"/>
      <c r="J14" s="121"/>
      <c r="K14" s="122"/>
    </row>
    <row r="15" spans="1:11" thickBot="1" x14ac:dyDescent="0.25">
      <c r="A15" s="112">
        <v>1500</v>
      </c>
      <c r="B15" s="114">
        <v>0</v>
      </c>
      <c r="C15" s="114">
        <f>ROUNDUP(B15,0)</f>
        <v>0</v>
      </c>
      <c r="D15" s="114">
        <v>2.6</v>
      </c>
      <c r="E15" s="114">
        <f>D15*C15</f>
        <v>0</v>
      </c>
      <c r="F15" s="115">
        <f>E15*$K$12</f>
        <v>0</v>
      </c>
      <c r="G15" s="103"/>
      <c r="H15" s="87"/>
      <c r="I15" s="87"/>
      <c r="J15" s="87"/>
      <c r="K15" s="87"/>
    </row>
    <row r="16" spans="1:11" ht="14.25" x14ac:dyDescent="0.2">
      <c r="A16" s="88"/>
      <c r="B16" s="88"/>
      <c r="C16" s="103"/>
      <c r="D16" s="103"/>
      <c r="E16" s="103"/>
      <c r="F16" s="103"/>
      <c r="G16" s="103"/>
      <c r="H16" s="87"/>
      <c r="I16" s="87"/>
      <c r="J16" s="87"/>
      <c r="K16" s="87"/>
    </row>
    <row r="17" spans="1:11" ht="15.75" hidden="1" thickBot="1" x14ac:dyDescent="0.25">
      <c r="A17" s="468" t="s">
        <v>114</v>
      </c>
      <c r="B17" s="469"/>
      <c r="C17" s="469"/>
      <c r="D17" s="470"/>
      <c r="E17" s="109"/>
      <c r="F17" s="109"/>
      <c r="G17" s="108"/>
      <c r="H17" s="108"/>
      <c r="I17" s="108"/>
      <c r="J17" s="108"/>
      <c r="K17" s="108"/>
    </row>
    <row r="18" spans="1:11" ht="15" hidden="1" customHeight="1" x14ac:dyDescent="0.2">
      <c r="A18" s="475" t="s">
        <v>203</v>
      </c>
      <c r="B18" s="417" t="s">
        <v>204</v>
      </c>
      <c r="C18" s="417" t="s">
        <v>200</v>
      </c>
      <c r="D18" s="409" t="s">
        <v>201</v>
      </c>
      <c r="E18" s="467"/>
      <c r="F18" s="87"/>
      <c r="G18" s="87"/>
      <c r="H18" s="87"/>
      <c r="I18" s="87"/>
      <c r="J18" s="87"/>
      <c r="K18" s="87"/>
    </row>
    <row r="19" spans="1:11" ht="14.25" hidden="1" customHeight="1" x14ac:dyDescent="0.2">
      <c r="A19" s="476"/>
      <c r="B19" s="418"/>
      <c r="C19" s="418"/>
      <c r="D19" s="410"/>
      <c r="E19" s="467"/>
      <c r="F19" s="87"/>
      <c r="G19" s="87"/>
      <c r="H19" s="87"/>
      <c r="I19" s="87"/>
      <c r="J19" s="87"/>
      <c r="K19" s="87"/>
    </row>
    <row r="20" spans="1:11" ht="36.75" hidden="1" customHeight="1" x14ac:dyDescent="0.2">
      <c r="A20" s="476"/>
      <c r="B20" s="418"/>
      <c r="C20" s="418"/>
      <c r="D20" s="410"/>
      <c r="E20" s="467"/>
      <c r="F20" s="87"/>
      <c r="G20" s="87"/>
      <c r="H20" s="87"/>
      <c r="I20" s="87"/>
      <c r="J20" s="87"/>
      <c r="K20" s="87"/>
    </row>
    <row r="21" spans="1:11" hidden="1" thickBot="1" x14ac:dyDescent="0.25">
      <c r="A21" s="116">
        <f>'CÁLCULO DE VOL E ESC REDE PRIN.'!I19+'CAL VOL. REDE COL.'!I33</f>
        <v>131.74380000000002</v>
      </c>
      <c r="B21" s="113">
        <v>1.5</v>
      </c>
      <c r="C21" s="114">
        <f>A21*B21</f>
        <v>197.61570000000003</v>
      </c>
      <c r="D21" s="115">
        <f>C21*K13</f>
        <v>0</v>
      </c>
      <c r="E21" s="103"/>
      <c r="F21" s="87"/>
      <c r="G21" s="87"/>
      <c r="H21" s="87"/>
      <c r="I21" s="87"/>
      <c r="J21" s="87"/>
      <c r="K21" s="87"/>
    </row>
    <row r="22" spans="1:11" ht="14.25" hidden="1" x14ac:dyDescent="0.2">
      <c r="A22" s="103"/>
      <c r="B22" s="88"/>
      <c r="C22" s="103"/>
      <c r="D22" s="103"/>
      <c r="E22" s="103"/>
      <c r="F22" s="87"/>
      <c r="G22" s="87"/>
      <c r="H22" s="87"/>
      <c r="I22" s="87"/>
      <c r="J22" s="87"/>
      <c r="K22" s="87"/>
    </row>
    <row r="23" spans="1:11" ht="15.75" customHeight="1" thickBot="1" x14ac:dyDescent="0.25">
      <c r="A23" s="471"/>
      <c r="B23" s="471"/>
      <c r="C23" s="471"/>
      <c r="D23" s="471"/>
      <c r="E23" s="471"/>
      <c r="F23" s="471"/>
      <c r="G23" s="471"/>
      <c r="H23" s="471"/>
      <c r="I23" s="471"/>
      <c r="J23" s="471"/>
      <c r="K23" s="471"/>
    </row>
    <row r="24" spans="1:11" ht="15.75" customHeight="1" x14ac:dyDescent="0.2">
      <c r="A24" s="453" t="s">
        <v>137</v>
      </c>
      <c r="B24" s="454"/>
      <c r="C24" s="454"/>
      <c r="D24" s="454" t="s">
        <v>138</v>
      </c>
      <c r="E24" s="454"/>
      <c r="F24" s="454"/>
      <c r="G24" s="457" t="s">
        <v>142</v>
      </c>
      <c r="H24" s="457"/>
      <c r="I24" s="457"/>
      <c r="J24" s="457"/>
      <c r="K24" s="458"/>
    </row>
    <row r="25" spans="1:11" ht="15.75" customHeight="1" x14ac:dyDescent="0.2">
      <c r="A25" s="455"/>
      <c r="B25" s="456"/>
      <c r="C25" s="456"/>
      <c r="D25" s="456"/>
      <c r="E25" s="456"/>
      <c r="F25" s="456"/>
      <c r="G25" s="459"/>
      <c r="H25" s="459"/>
      <c r="I25" s="459"/>
      <c r="J25" s="459"/>
      <c r="K25" s="460"/>
    </row>
    <row r="26" spans="1:11" ht="15.75" customHeight="1" x14ac:dyDescent="0.2">
      <c r="A26" s="216"/>
      <c r="B26" s="215"/>
      <c r="C26" s="215"/>
      <c r="D26" s="215"/>
      <c r="E26" s="215"/>
      <c r="F26" s="215"/>
      <c r="G26" s="472" t="s">
        <v>274</v>
      </c>
      <c r="H26" s="473"/>
      <c r="I26" s="473"/>
      <c r="J26" s="473"/>
      <c r="K26" s="474"/>
    </row>
    <row r="27" spans="1:11" ht="15.75" customHeight="1" x14ac:dyDescent="0.2">
      <c r="A27" s="216"/>
      <c r="B27" s="215"/>
      <c r="C27" s="215"/>
      <c r="D27" s="215"/>
      <c r="E27" s="215"/>
      <c r="F27" s="215"/>
      <c r="G27" s="461"/>
      <c r="H27" s="443"/>
      <c r="I27" s="443"/>
      <c r="J27" s="443"/>
      <c r="K27" s="444"/>
    </row>
    <row r="28" spans="1:11" ht="15.75" customHeight="1" x14ac:dyDescent="0.2">
      <c r="A28" s="463" t="s">
        <v>13</v>
      </c>
      <c r="B28" s="464"/>
      <c r="C28" s="464"/>
      <c r="D28" s="456" t="s">
        <v>140</v>
      </c>
      <c r="E28" s="456"/>
      <c r="F28" s="456"/>
      <c r="G28" s="461"/>
      <c r="H28" s="443"/>
      <c r="I28" s="443"/>
      <c r="J28" s="443"/>
      <c r="K28" s="444"/>
    </row>
    <row r="29" spans="1:11" ht="15.75" customHeight="1" thickBot="1" x14ac:dyDescent="0.25">
      <c r="A29" s="465" t="s">
        <v>14</v>
      </c>
      <c r="B29" s="466"/>
      <c r="C29" s="466"/>
      <c r="D29" s="452" t="s">
        <v>139</v>
      </c>
      <c r="E29" s="452"/>
      <c r="F29" s="452"/>
      <c r="G29" s="462"/>
      <c r="H29" s="314"/>
      <c r="I29" s="314"/>
      <c r="J29" s="314"/>
      <c r="K29" s="291"/>
    </row>
    <row r="30" spans="1:11" ht="15.75" customHeight="1" x14ac:dyDescent="0.2">
      <c r="E30" s="12"/>
    </row>
    <row r="31" spans="1:11" ht="15.75" customHeight="1" x14ac:dyDescent="0.2"/>
    <row r="32" spans="1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mergeCells count="35">
    <mergeCell ref="B18:B20"/>
    <mergeCell ref="C18:C20"/>
    <mergeCell ref="D18:D20"/>
    <mergeCell ref="E18:E20"/>
    <mergeCell ref="D29:F29"/>
    <mergeCell ref="A23:K23"/>
    <mergeCell ref="A24:C25"/>
    <mergeCell ref="D24:F25"/>
    <mergeCell ref="G24:K25"/>
    <mergeCell ref="A26:C27"/>
    <mergeCell ref="D26:F27"/>
    <mergeCell ref="A28:C28"/>
    <mergeCell ref="D28:F28"/>
    <mergeCell ref="A29:C29"/>
    <mergeCell ref="B1:K1"/>
    <mergeCell ref="B2:K2"/>
    <mergeCell ref="B3:K3"/>
    <mergeCell ref="B4:K4"/>
    <mergeCell ref="A5:K5"/>
    <mergeCell ref="A6:K6"/>
    <mergeCell ref="G26:K26"/>
    <mergeCell ref="G27:K27"/>
    <mergeCell ref="G28:K28"/>
    <mergeCell ref="G29:K29"/>
    <mergeCell ref="A7:F7"/>
    <mergeCell ref="A8:A10"/>
    <mergeCell ref="B8:B10"/>
    <mergeCell ref="C8:C10"/>
    <mergeCell ref="D8:D10"/>
    <mergeCell ref="E8:E10"/>
    <mergeCell ref="F8:F10"/>
    <mergeCell ref="G8:G10"/>
    <mergeCell ref="J10:K10"/>
    <mergeCell ref="A17:D17"/>
    <mergeCell ref="A18:A20"/>
  </mergeCells>
  <pageMargins left="0.511811024" right="0.511811024" top="1.0237499999999999" bottom="0.92531249999999998" header="0" footer="0"/>
  <pageSetup paperSize="9" scale="79" fitToHeight="0" orientation="landscape" r:id="rId1"/>
  <headerFooter>
    <oddFooter>&amp;CRua Rui Barbosa, 310 - Centro - Araputanga-MT – Cel: (65) 99613-9294 E-mail: carolina.o.almeida@hotmail.com / escalaprojeta@gmail.com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4"/>
  <sheetViews>
    <sheetView view="pageLayout" zoomScaleNormal="100" zoomScaleSheetLayoutView="100" workbookViewId="0">
      <selection activeCell="C14" sqref="C14"/>
    </sheetView>
  </sheetViews>
  <sheetFormatPr defaultColWidth="12.625" defaultRowHeight="15" customHeight="1" x14ac:dyDescent="0.2"/>
  <cols>
    <col min="1" max="1" width="11.875" customWidth="1"/>
    <col min="2" max="2" width="52.25" customWidth="1"/>
    <col min="3" max="3" width="14.5" customWidth="1"/>
    <col min="4" max="4" width="15.375" customWidth="1"/>
    <col min="5" max="5" width="13.125" customWidth="1"/>
    <col min="6" max="6" width="11.5" customWidth="1"/>
    <col min="7" max="7" width="12.875" customWidth="1"/>
    <col min="8" max="8" width="10.25" customWidth="1"/>
    <col min="9" max="9" width="9.5" customWidth="1"/>
    <col min="10" max="10" width="7.625" customWidth="1"/>
    <col min="11" max="11" width="17.875" customWidth="1"/>
    <col min="12" max="21" width="7.625" customWidth="1"/>
  </cols>
  <sheetData>
    <row r="1" spans="1:10" ht="14.25" x14ac:dyDescent="0.2">
      <c r="A1" s="175" t="s">
        <v>0</v>
      </c>
      <c r="B1" s="328" t="str">
        <f>'PLANILHA ORÇAMENTÁRIA'!B1:F1</f>
        <v>Construção de muros e calçadas em casas populares</v>
      </c>
      <c r="C1" s="480"/>
      <c r="D1" s="480"/>
      <c r="E1" s="480"/>
      <c r="F1" s="480"/>
      <c r="G1" s="480"/>
      <c r="H1" s="480"/>
      <c r="I1" s="480"/>
    </row>
    <row r="2" spans="1:10" ht="14.25" x14ac:dyDescent="0.2">
      <c r="A2" s="175" t="s">
        <v>1</v>
      </c>
      <c r="B2" s="328" t="str">
        <f>'PLANILHA ORÇAMENTÁRIA'!B2:F2</f>
        <v>Prefeitura Municipal de Araputanga</v>
      </c>
      <c r="C2" s="480"/>
      <c r="D2" s="480"/>
      <c r="E2" s="480"/>
      <c r="F2" s="480"/>
      <c r="G2" s="480"/>
      <c r="H2" s="480"/>
      <c r="I2" s="480"/>
    </row>
    <row r="3" spans="1:10" ht="14.25" x14ac:dyDescent="0.2">
      <c r="A3" s="175" t="s">
        <v>2</v>
      </c>
      <c r="B3" s="328" t="str">
        <f>'PLANILHA ORÇAMENTÁRIA'!B3:F3</f>
        <v>Quadra 14 e 04, Loteamento carvalho e Quadra 26 Loteamento Vilage, Araputanga-MT.</v>
      </c>
      <c r="C3" s="480"/>
      <c r="D3" s="480"/>
      <c r="E3" s="480"/>
      <c r="F3" s="480"/>
      <c r="G3" s="480"/>
      <c r="H3" s="480"/>
      <c r="I3" s="480"/>
    </row>
    <row r="4" spans="1:10" ht="14.25" x14ac:dyDescent="0.2">
      <c r="A4" s="176" t="s">
        <v>3</v>
      </c>
      <c r="B4" s="513">
        <v>45905</v>
      </c>
      <c r="C4" s="480"/>
      <c r="D4" s="480"/>
      <c r="E4" s="480"/>
      <c r="F4" s="480"/>
      <c r="G4" s="480"/>
      <c r="H4" s="480"/>
      <c r="I4" s="480"/>
    </row>
    <row r="5" spans="1:10" x14ac:dyDescent="0.2">
      <c r="A5" s="521" t="s">
        <v>287</v>
      </c>
      <c r="B5" s="480"/>
      <c r="C5" s="480"/>
      <c r="D5" s="480"/>
      <c r="E5" s="480"/>
      <c r="F5" s="480"/>
      <c r="G5" s="480"/>
      <c r="H5" s="480"/>
      <c r="I5" s="480"/>
    </row>
    <row r="6" spans="1:10" x14ac:dyDescent="0.2">
      <c r="A6" s="420" t="s">
        <v>74</v>
      </c>
      <c r="B6" s="420" t="s">
        <v>79</v>
      </c>
      <c r="C6" s="420" t="s">
        <v>80</v>
      </c>
      <c r="D6" s="480"/>
      <c r="E6" s="420" t="s">
        <v>81</v>
      </c>
      <c r="F6" s="480"/>
      <c r="G6" s="480"/>
      <c r="H6" s="480"/>
      <c r="I6" s="480"/>
    </row>
    <row r="7" spans="1:10" x14ac:dyDescent="0.2">
      <c r="A7" s="480"/>
      <c r="B7" s="480"/>
      <c r="C7" s="480"/>
      <c r="D7" s="480"/>
      <c r="E7" s="420" t="s">
        <v>285</v>
      </c>
      <c r="F7" s="480"/>
      <c r="G7" s="420" t="s">
        <v>286</v>
      </c>
      <c r="H7" s="480"/>
      <c r="I7" s="209" t="s">
        <v>12</v>
      </c>
    </row>
    <row r="8" spans="1:10" ht="14.25" x14ac:dyDescent="0.2">
      <c r="A8" s="480"/>
      <c r="B8" s="480"/>
      <c r="C8" s="522" t="s">
        <v>85</v>
      </c>
      <c r="D8" s="522" t="s">
        <v>86</v>
      </c>
      <c r="E8" s="522" t="s">
        <v>85</v>
      </c>
      <c r="F8" s="522" t="s">
        <v>86</v>
      </c>
      <c r="G8" s="522" t="s">
        <v>85</v>
      </c>
      <c r="H8" s="522" t="s">
        <v>86</v>
      </c>
      <c r="I8" s="522" t="s">
        <v>86</v>
      </c>
    </row>
    <row r="9" spans="1:10" x14ac:dyDescent="0.2">
      <c r="A9" s="209" t="str">
        <f>'DESCRIÇÃO DE ORÇAMENTO'!A8</f>
        <v>1.0</v>
      </c>
      <c r="B9" s="209" t="str">
        <f>'DESCRIÇÃO DE ORÇAMENTO'!B8:E8</f>
        <v>ADMINISTRAÇÃO DE OBRA</v>
      </c>
      <c r="C9" s="542">
        <f>'DESCRIÇÃO DE ORÇAMENTO'!F8</f>
        <v>4968.2</v>
      </c>
      <c r="D9" s="568">
        <f>(C9/$C$14)*100</f>
        <v>0.34313522117009909</v>
      </c>
      <c r="E9" s="542">
        <f>C9*F9</f>
        <v>2484.1</v>
      </c>
      <c r="F9" s="569">
        <v>0.5</v>
      </c>
      <c r="G9" s="542">
        <f>C9*H9</f>
        <v>2484.1</v>
      </c>
      <c r="H9" s="569">
        <v>0.5</v>
      </c>
      <c r="I9" s="570">
        <f>F9+H9</f>
        <v>1</v>
      </c>
      <c r="J9" s="192"/>
    </row>
    <row r="10" spans="1:10" x14ac:dyDescent="0.2">
      <c r="A10" s="209" t="str">
        <f>'DESCRIÇÃO DE ORÇAMENTO'!A9</f>
        <v>2.0</v>
      </c>
      <c r="B10" s="209" t="str">
        <f>'DESCRIÇÃO DE ORÇAMENTO'!B9:E9</f>
        <v>SERVIÇOS PRELIMINARES</v>
      </c>
      <c r="C10" s="542">
        <f>'DESCRIÇÃO DE ORÇAMENTO'!F9</f>
        <v>7323.12</v>
      </c>
      <c r="D10" s="568">
        <f>(C10/$C$14)*100</f>
        <v>0.50578084635384568</v>
      </c>
      <c r="E10" s="542">
        <f t="shared" ref="E10:E13" si="0">C10*F10</f>
        <v>7323.12</v>
      </c>
      <c r="F10" s="569">
        <v>1</v>
      </c>
      <c r="G10" s="542">
        <f t="shared" ref="G10:G13" si="1">C10*H10</f>
        <v>0</v>
      </c>
      <c r="H10" s="569">
        <v>0</v>
      </c>
      <c r="I10" s="570">
        <f t="shared" ref="I10:I13" si="2">F10+H10</f>
        <v>1</v>
      </c>
    </row>
    <row r="11" spans="1:10" x14ac:dyDescent="0.2">
      <c r="A11" s="209" t="str">
        <f>'DESCRIÇÃO DE ORÇAMENTO'!A10</f>
        <v>3.0</v>
      </c>
      <c r="B11" s="209" t="str">
        <f>'DESCRIÇÃO DE ORÇAMENTO'!B10:E10</f>
        <v>CONSTRUÇÃO DE MURO</v>
      </c>
      <c r="C11" s="542">
        <f>'DESCRIÇÃO DE ORÇAMENTO'!F10</f>
        <v>832629.13000000012</v>
      </c>
      <c r="D11" s="568">
        <f>(C11/$C$14)*100</f>
        <v>57.506618226966957</v>
      </c>
      <c r="E11" s="542">
        <f t="shared" si="0"/>
        <v>249788.73900000003</v>
      </c>
      <c r="F11" s="569">
        <v>0.3</v>
      </c>
      <c r="G11" s="542">
        <f t="shared" si="1"/>
        <v>582840.39100000006</v>
      </c>
      <c r="H11" s="569">
        <v>0.7</v>
      </c>
      <c r="I11" s="570">
        <f t="shared" si="2"/>
        <v>1</v>
      </c>
    </row>
    <row r="12" spans="1:10" x14ac:dyDescent="0.2">
      <c r="A12" s="209" t="str">
        <f>'DESCRIÇÃO DE ORÇAMENTO'!A11</f>
        <v>4.0</v>
      </c>
      <c r="B12" s="209" t="str">
        <f>'DESCRIÇÃO DE ORÇAMENTO'!B11:E11</f>
        <v>REVESTIMENTOS E PINTURAS</v>
      </c>
      <c r="C12" s="542">
        <f>'DESCRIÇÃO DE ORÇAMENTO'!F11</f>
        <v>505506.55999999994</v>
      </c>
      <c r="D12" s="568">
        <f>(C12/$C$14)*100</f>
        <v>34.91347072753431</v>
      </c>
      <c r="E12" s="542">
        <f t="shared" si="0"/>
        <v>252753.27999999997</v>
      </c>
      <c r="F12" s="569">
        <v>0.5</v>
      </c>
      <c r="G12" s="542">
        <f t="shared" si="1"/>
        <v>252753.27999999997</v>
      </c>
      <c r="H12" s="569">
        <v>0.5</v>
      </c>
      <c r="I12" s="570">
        <f t="shared" si="2"/>
        <v>1</v>
      </c>
    </row>
    <row r="13" spans="1:10" x14ac:dyDescent="0.2">
      <c r="A13" s="209" t="str">
        <f>'DESCRIÇÃO DE ORÇAMENTO'!A12</f>
        <v>5.0</v>
      </c>
      <c r="B13" s="209" t="str">
        <f>'DESCRIÇÃO DE ORÇAMENTO'!B12:E12</f>
        <v>CALÇADA</v>
      </c>
      <c r="C13" s="542">
        <f>'DESCRIÇÃO DE ORÇAMENTO'!F12</f>
        <v>97457</v>
      </c>
      <c r="D13" s="568">
        <f>(C13/$C$14)*100</f>
        <v>6.73099497797479</v>
      </c>
      <c r="E13" s="542">
        <f t="shared" si="0"/>
        <v>29237.1</v>
      </c>
      <c r="F13" s="569">
        <v>0.3</v>
      </c>
      <c r="G13" s="542">
        <f t="shared" si="1"/>
        <v>68219.899999999994</v>
      </c>
      <c r="H13" s="569">
        <v>0.7</v>
      </c>
      <c r="I13" s="570">
        <f t="shared" si="2"/>
        <v>1</v>
      </c>
    </row>
    <row r="14" spans="1:10" x14ac:dyDescent="0.2">
      <c r="A14" s="175"/>
      <c r="B14" s="209" t="s">
        <v>87</v>
      </c>
      <c r="C14" s="571">
        <f>SUM(C9:C13)</f>
        <v>1447884.01</v>
      </c>
      <c r="D14" s="568">
        <f>SUM(D9:D13)</f>
        <v>100</v>
      </c>
      <c r="E14" s="542">
        <f>SUM(E9:E13)</f>
        <v>541586.33900000004</v>
      </c>
      <c r="F14" s="542">
        <f>(E14/C14)*100</f>
        <v>37.405367782188577</v>
      </c>
      <c r="G14" s="542">
        <f>SUM(G9:G13)</f>
        <v>906297.67099999997</v>
      </c>
      <c r="H14" s="542">
        <f>(G14/C14)*100</f>
        <v>62.594632217811416</v>
      </c>
      <c r="I14" s="542">
        <f>H14+F14</f>
        <v>100</v>
      </c>
    </row>
    <row r="15" spans="1:10" ht="15.75" customHeight="1" x14ac:dyDescent="0.25">
      <c r="A15" s="559"/>
      <c r="B15" s="537" t="s">
        <v>88</v>
      </c>
      <c r="C15" s="539"/>
      <c r="D15" s="572"/>
      <c r="E15" s="539">
        <f>SUM(E9:E14)/2</f>
        <v>541586.33900000004</v>
      </c>
      <c r="F15" s="539">
        <f>F14</f>
        <v>37.405367782188577</v>
      </c>
      <c r="G15" s="560">
        <f>E14+G14</f>
        <v>1447884.01</v>
      </c>
      <c r="H15" s="560">
        <f>H14+F15</f>
        <v>100</v>
      </c>
      <c r="I15" s="559"/>
    </row>
    <row r="16" spans="1:10" ht="15.75" customHeight="1" x14ac:dyDescent="0.2">
      <c r="A16" s="456" t="s">
        <v>137</v>
      </c>
      <c r="B16" s="456"/>
      <c r="C16" s="456"/>
      <c r="D16" s="456" t="s">
        <v>138</v>
      </c>
      <c r="E16" s="456"/>
      <c r="F16" s="456"/>
      <c r="G16" s="459" t="s">
        <v>142</v>
      </c>
      <c r="H16" s="459"/>
      <c r="I16" s="459"/>
    </row>
    <row r="17" spans="1:11" ht="15.75" customHeight="1" x14ac:dyDescent="0.2">
      <c r="A17" s="456"/>
      <c r="B17" s="456"/>
      <c r="C17" s="456"/>
      <c r="D17" s="456"/>
      <c r="E17" s="456"/>
      <c r="F17" s="456"/>
      <c r="G17" s="459"/>
      <c r="H17" s="459"/>
      <c r="I17" s="459"/>
    </row>
    <row r="18" spans="1:11" ht="15.75" customHeight="1" x14ac:dyDescent="0.2">
      <c r="A18" s="215"/>
      <c r="B18" s="215"/>
      <c r="C18" s="215"/>
      <c r="D18" s="215"/>
      <c r="E18" s="215"/>
      <c r="F18" s="215"/>
      <c r="G18" s="562"/>
      <c r="H18" s="562"/>
      <c r="I18" s="562"/>
      <c r="K18" s="193"/>
    </row>
    <row r="19" spans="1:11" ht="15.75" customHeight="1" x14ac:dyDescent="0.2">
      <c r="A19" s="215"/>
      <c r="B19" s="215"/>
      <c r="C19" s="215"/>
      <c r="D19" s="215"/>
      <c r="E19" s="215"/>
      <c r="F19" s="215"/>
      <c r="G19" s="430"/>
      <c r="H19" s="430"/>
      <c r="I19" s="430"/>
    </row>
    <row r="20" spans="1:11" ht="15.75" customHeight="1" x14ac:dyDescent="0.2">
      <c r="A20" s="464" t="s">
        <v>13</v>
      </c>
      <c r="B20" s="464"/>
      <c r="C20" s="464"/>
      <c r="D20" s="456" t="s">
        <v>428</v>
      </c>
      <c r="E20" s="456"/>
      <c r="F20" s="456"/>
      <c r="G20" s="562"/>
      <c r="H20" s="562"/>
      <c r="I20" s="562"/>
    </row>
    <row r="21" spans="1:11" ht="15.75" customHeight="1" x14ac:dyDescent="0.2">
      <c r="A21" s="464" t="s">
        <v>433</v>
      </c>
      <c r="B21" s="215"/>
      <c r="C21" s="215"/>
      <c r="D21" s="456" t="s">
        <v>139</v>
      </c>
      <c r="E21" s="456"/>
      <c r="F21" s="456"/>
      <c r="G21" s="562"/>
      <c r="H21" s="562"/>
      <c r="I21" s="562"/>
    </row>
    <row r="22" spans="1:11" ht="15.75" customHeight="1" x14ac:dyDescent="0.2">
      <c r="E22" s="12"/>
    </row>
    <row r="23" spans="1:11" ht="15.75" customHeight="1" x14ac:dyDescent="0.2"/>
    <row r="24" spans="1:11" ht="15.75" customHeight="1" x14ac:dyDescent="0.2"/>
    <row r="25" spans="1:11" ht="15.75" customHeight="1" x14ac:dyDescent="0.2"/>
    <row r="26" spans="1:11" ht="15.75" customHeight="1" x14ac:dyDescent="0.2"/>
    <row r="27" spans="1:11" ht="15.75" customHeight="1" x14ac:dyDescent="0.2"/>
    <row r="28" spans="1:11" ht="15.75" customHeight="1" x14ac:dyDescent="0.2"/>
    <row r="29" spans="1:11" ht="15.75" customHeight="1" x14ac:dyDescent="0.2"/>
    <row r="30" spans="1:11" ht="15.75" customHeight="1" x14ac:dyDescent="0.2"/>
    <row r="31" spans="1:11" ht="15.75" customHeight="1" x14ac:dyDescent="0.2"/>
    <row r="32" spans="1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</sheetData>
  <mergeCells count="24">
    <mergeCell ref="A6:A8"/>
    <mergeCell ref="B6:B8"/>
    <mergeCell ref="C6:D7"/>
    <mergeCell ref="E6:I6"/>
    <mergeCell ref="E7:F7"/>
    <mergeCell ref="G7:H7"/>
    <mergeCell ref="B1:I1"/>
    <mergeCell ref="B2:I2"/>
    <mergeCell ref="B3:I3"/>
    <mergeCell ref="B4:I4"/>
    <mergeCell ref="A5:I5"/>
    <mergeCell ref="A21:C21"/>
    <mergeCell ref="D21:F21"/>
    <mergeCell ref="G21:I21"/>
    <mergeCell ref="A16:C17"/>
    <mergeCell ref="D16:F17"/>
    <mergeCell ref="G16:I17"/>
    <mergeCell ref="A20:C20"/>
    <mergeCell ref="D20:F20"/>
    <mergeCell ref="G20:I20"/>
    <mergeCell ref="A18:C19"/>
    <mergeCell ref="D18:F19"/>
    <mergeCell ref="G18:I18"/>
    <mergeCell ref="G19:I19"/>
  </mergeCells>
  <pageMargins left="0.51181102362204722" right="0.51181102362204722" top="1.4691666666666667" bottom="0.94488188976377963" header="0.59055118110236227" footer="0"/>
  <pageSetup paperSize="9" scale="82" fitToHeight="0" orientation="landscape" r:id="rId1"/>
  <headerFooter>
    <oddHeader>&amp;C&amp;G</oddHeader>
    <oddFooter>&amp;CRua Antenor Mamedes, nº 911, Fone/Fax (65) 3261-1736
CEP: 78.260-000 – Araputanga – Mato Grosso
e-mail: engenharia@araputanga.mt.gov.br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2"/>
  <sheetViews>
    <sheetView view="pageLayout" zoomScaleNormal="100" zoomScaleSheetLayoutView="100" workbookViewId="0">
      <selection activeCell="A33" sqref="A1:D33"/>
    </sheetView>
  </sheetViews>
  <sheetFormatPr defaultColWidth="12.625" defaultRowHeight="15" customHeight="1" x14ac:dyDescent="0.2"/>
  <cols>
    <col min="1" max="1" width="8"/>
    <col min="2" max="2" width="35.875" customWidth="1"/>
    <col min="3" max="3" width="13" customWidth="1"/>
    <col min="4" max="4" width="15.375" customWidth="1"/>
    <col min="5" max="5" width="7.625" customWidth="1"/>
    <col min="6" max="6" width="11.375" customWidth="1"/>
    <col min="7" max="26" width="7.625" customWidth="1"/>
  </cols>
  <sheetData>
    <row r="1" spans="1:4" ht="15" customHeight="1" thickBot="1" x14ac:dyDescent="0.25">
      <c r="A1" s="414" t="s">
        <v>275</v>
      </c>
      <c r="B1" s="415"/>
      <c r="C1" s="415"/>
      <c r="D1" s="416"/>
    </row>
    <row r="2" spans="1:4" ht="15" customHeight="1" thickBot="1" x14ac:dyDescent="0.25">
      <c r="A2" s="134"/>
      <c r="B2" s="87"/>
      <c r="C2" s="87"/>
      <c r="D2" s="135"/>
    </row>
    <row r="3" spans="1:4" ht="15" customHeight="1" x14ac:dyDescent="0.2">
      <c r="A3" s="504" t="s">
        <v>290</v>
      </c>
      <c r="B3" s="505"/>
      <c r="C3" s="506"/>
      <c r="D3" s="187" t="s">
        <v>86</v>
      </c>
    </row>
    <row r="4" spans="1:4" ht="15" customHeight="1" x14ac:dyDescent="0.2">
      <c r="A4" s="501" t="s">
        <v>292</v>
      </c>
      <c r="B4" s="502"/>
      <c r="C4" s="503"/>
      <c r="D4" s="188">
        <v>0.04</v>
      </c>
    </row>
    <row r="5" spans="1:4" ht="15" customHeight="1" x14ac:dyDescent="0.2">
      <c r="A5" s="501" t="s">
        <v>291</v>
      </c>
      <c r="B5" s="502"/>
      <c r="C5" s="503" t="s">
        <v>30</v>
      </c>
      <c r="D5" s="188">
        <v>1.23E-2</v>
      </c>
    </row>
    <row r="6" spans="1:4" ht="15" customHeight="1" x14ac:dyDescent="0.2">
      <c r="A6" s="501" t="s">
        <v>300</v>
      </c>
      <c r="B6" s="502"/>
      <c r="C6" s="503" t="s">
        <v>30</v>
      </c>
      <c r="D6" s="188">
        <v>1.2699999999999999E-2</v>
      </c>
    </row>
    <row r="7" spans="1:4" ht="15" customHeight="1" x14ac:dyDescent="0.2">
      <c r="A7" s="501" t="s">
        <v>293</v>
      </c>
      <c r="B7" s="502"/>
      <c r="C7" s="503" t="s">
        <v>30</v>
      </c>
      <c r="D7" s="188">
        <v>8.0000000000000002E-3</v>
      </c>
    </row>
    <row r="8" spans="1:4" ht="15" customHeight="1" thickBot="1" x14ac:dyDescent="0.25">
      <c r="A8" s="498" t="s">
        <v>294</v>
      </c>
      <c r="B8" s="499"/>
      <c r="C8" s="500"/>
      <c r="D8" s="189">
        <f>SUM(D4:D7)</f>
        <v>7.3000000000000009E-2</v>
      </c>
    </row>
    <row r="9" spans="1:4" ht="15" customHeight="1" x14ac:dyDescent="0.2">
      <c r="A9" s="504" t="s">
        <v>295</v>
      </c>
      <c r="B9" s="505"/>
      <c r="C9" s="506"/>
      <c r="D9" s="187" t="s">
        <v>86</v>
      </c>
    </row>
    <row r="10" spans="1:4" ht="15" customHeight="1" x14ac:dyDescent="0.2">
      <c r="A10" s="501" t="s">
        <v>296</v>
      </c>
      <c r="B10" s="502"/>
      <c r="C10" s="503"/>
      <c r="D10" s="188">
        <v>7.3999999999999996E-2</v>
      </c>
    </row>
    <row r="11" spans="1:4" ht="15" customHeight="1" thickBot="1" x14ac:dyDescent="0.25">
      <c r="A11" s="498" t="s">
        <v>294</v>
      </c>
      <c r="B11" s="499"/>
      <c r="C11" s="500"/>
      <c r="D11" s="189">
        <f>D10</f>
        <v>7.3999999999999996E-2</v>
      </c>
    </row>
    <row r="12" spans="1:4" ht="15" customHeight="1" x14ac:dyDescent="0.2">
      <c r="A12" s="504" t="s">
        <v>297</v>
      </c>
      <c r="B12" s="505"/>
      <c r="C12" s="506"/>
      <c r="D12" s="187" t="s">
        <v>86</v>
      </c>
    </row>
    <row r="13" spans="1:4" ht="15" customHeight="1" x14ac:dyDescent="0.2">
      <c r="A13" s="501" t="s">
        <v>211</v>
      </c>
      <c r="B13" s="502"/>
      <c r="C13" s="503"/>
      <c r="D13" s="188">
        <v>6.4999999999999997E-3</v>
      </c>
    </row>
    <row r="14" spans="1:4" ht="15" customHeight="1" x14ac:dyDescent="0.2">
      <c r="A14" s="501" t="s">
        <v>298</v>
      </c>
      <c r="B14" s="502"/>
      <c r="C14" s="503"/>
      <c r="D14" s="188">
        <v>0.03</v>
      </c>
    </row>
    <row r="15" spans="1:4" ht="15" customHeight="1" x14ac:dyDescent="0.2">
      <c r="A15" s="501" t="s">
        <v>299</v>
      </c>
      <c r="B15" s="502"/>
      <c r="C15" s="503"/>
      <c r="D15" s="188">
        <v>0.05</v>
      </c>
    </row>
    <row r="16" spans="1:4" ht="15.75" customHeight="1" thickBot="1" x14ac:dyDescent="0.25">
      <c r="A16" s="498" t="s">
        <v>294</v>
      </c>
      <c r="B16" s="499"/>
      <c r="C16" s="500"/>
      <c r="D16" s="189">
        <f>SUM(D13:D15)</f>
        <v>8.6499999999999994E-2</v>
      </c>
    </row>
    <row r="17" spans="1:6" ht="15.75" customHeight="1" thickBot="1" x14ac:dyDescent="0.25">
      <c r="A17" s="510"/>
      <c r="B17" s="511"/>
      <c r="C17" s="511"/>
      <c r="D17" s="512"/>
    </row>
    <row r="18" spans="1:6" ht="15.75" customHeight="1" x14ac:dyDescent="0.2">
      <c r="A18" s="288"/>
      <c r="B18" s="313"/>
      <c r="C18" s="313"/>
      <c r="D18" s="289"/>
    </row>
    <row r="19" spans="1:6" ht="15.75" customHeight="1" x14ac:dyDescent="0.2">
      <c r="A19" s="442"/>
      <c r="B19" s="443"/>
      <c r="C19" s="443"/>
      <c r="D19" s="444"/>
    </row>
    <row r="20" spans="1:6" ht="15.75" customHeight="1" thickBot="1" x14ac:dyDescent="0.25">
      <c r="A20" s="290"/>
      <c r="B20" s="314"/>
      <c r="C20" s="314"/>
      <c r="D20" s="291"/>
    </row>
    <row r="21" spans="1:6" ht="15.75" customHeight="1" thickBot="1" x14ac:dyDescent="0.25">
      <c r="A21" s="259" t="s">
        <v>212</v>
      </c>
      <c r="B21" s="260"/>
      <c r="C21" s="260"/>
      <c r="D21" s="190">
        <f>ROUND((1+D4+D7+D6)*(1+D5)*(1+D11)/(1-D16)-1,4)</f>
        <v>0.26240000000000002</v>
      </c>
      <c r="F21" s="191"/>
    </row>
    <row r="22" spans="1:6" ht="15.75" customHeight="1" x14ac:dyDescent="0.2">
      <c r="A22" s="364" t="s">
        <v>142</v>
      </c>
      <c r="B22" s="365"/>
      <c r="C22" s="365"/>
      <c r="D22" s="366"/>
    </row>
    <row r="23" spans="1:6" ht="15.75" customHeight="1" x14ac:dyDescent="0.2">
      <c r="A23" s="507"/>
      <c r="B23" s="508"/>
      <c r="C23" s="508"/>
      <c r="D23" s="509"/>
      <c r="E23" s="74"/>
    </row>
    <row r="24" spans="1:6" ht="15.75" customHeight="1" x14ac:dyDescent="0.2">
      <c r="A24" s="481" t="s">
        <v>430</v>
      </c>
      <c r="B24" s="430"/>
      <c r="C24" s="430"/>
      <c r="D24" s="482"/>
      <c r="E24" s="74"/>
    </row>
    <row r="25" spans="1:6" ht="15.75" customHeight="1" x14ac:dyDescent="0.2">
      <c r="A25" s="483" t="s">
        <v>302</v>
      </c>
      <c r="B25" s="328"/>
      <c r="C25" s="328"/>
      <c r="D25" s="484"/>
      <c r="E25" s="74"/>
    </row>
    <row r="26" spans="1:6" ht="15.75" customHeight="1" x14ac:dyDescent="0.2">
      <c r="A26" s="485" t="s">
        <v>270</v>
      </c>
      <c r="B26" s="486"/>
      <c r="C26" s="486"/>
      <c r="D26" s="267"/>
      <c r="E26" s="74"/>
    </row>
    <row r="27" spans="1:6" ht="15.75" customHeight="1" x14ac:dyDescent="0.2">
      <c r="A27" s="487"/>
      <c r="B27" s="488"/>
      <c r="C27" s="488"/>
      <c r="D27" s="489"/>
      <c r="E27" s="74"/>
    </row>
    <row r="28" spans="1:6" ht="15.75" customHeight="1" thickBot="1" x14ac:dyDescent="0.25">
      <c r="A28" s="490"/>
      <c r="B28" s="491"/>
      <c r="C28" s="491"/>
      <c r="D28" s="492"/>
      <c r="E28" s="74"/>
    </row>
    <row r="29" spans="1:6" ht="15.75" customHeight="1" x14ac:dyDescent="0.2">
      <c r="A29" s="364" t="s">
        <v>271</v>
      </c>
      <c r="B29" s="493"/>
      <c r="C29" s="493"/>
      <c r="D29" s="494"/>
      <c r="E29" s="74"/>
    </row>
    <row r="30" spans="1:6" ht="15.75" customHeight="1" x14ac:dyDescent="0.2">
      <c r="A30" s="495"/>
      <c r="B30" s="496"/>
      <c r="C30" s="496"/>
      <c r="D30" s="497"/>
      <c r="E30" s="74"/>
    </row>
    <row r="31" spans="1:6" ht="40.5" customHeight="1" x14ac:dyDescent="0.2">
      <c r="A31" s="302"/>
      <c r="B31" s="303"/>
      <c r="C31" s="303"/>
      <c r="D31" s="254"/>
    </row>
    <row r="32" spans="1:6" ht="15.75" customHeight="1" x14ac:dyDescent="0.2">
      <c r="A32" s="318" t="s">
        <v>13</v>
      </c>
      <c r="B32" s="319"/>
      <c r="C32" s="319"/>
      <c r="D32" s="320"/>
    </row>
    <row r="33" spans="1:4" ht="15.75" customHeight="1" thickBot="1" x14ac:dyDescent="0.25">
      <c r="A33" s="300" t="s">
        <v>433</v>
      </c>
      <c r="B33" s="325"/>
      <c r="C33" s="325"/>
      <c r="D33" s="326"/>
    </row>
    <row r="34" spans="1:4" ht="15.75" customHeight="1" x14ac:dyDescent="0.2"/>
    <row r="35" spans="1:4" ht="15.75" customHeight="1" x14ac:dyDescent="0.2"/>
    <row r="36" spans="1:4" ht="15.75" customHeight="1" x14ac:dyDescent="0.2"/>
    <row r="37" spans="1:4" ht="15.75" customHeight="1" x14ac:dyDescent="0.2"/>
    <row r="38" spans="1:4" ht="15.75" customHeight="1" x14ac:dyDescent="0.2"/>
    <row r="39" spans="1:4" ht="15.75" customHeight="1" x14ac:dyDescent="0.2"/>
    <row r="40" spans="1:4" ht="15.75" customHeight="1" x14ac:dyDescent="0.2"/>
    <row r="41" spans="1:4" ht="15.75" customHeight="1" x14ac:dyDescent="0.2"/>
    <row r="42" spans="1:4" ht="15.75" customHeight="1" x14ac:dyDescent="0.2"/>
    <row r="43" spans="1:4" ht="15.75" customHeight="1" x14ac:dyDescent="0.2"/>
    <row r="44" spans="1:4" ht="15.75" customHeight="1" x14ac:dyDescent="0.2"/>
    <row r="45" spans="1:4" ht="15.75" customHeight="1" x14ac:dyDescent="0.2"/>
    <row r="46" spans="1:4" ht="15.75" customHeight="1" x14ac:dyDescent="0.2"/>
    <row r="47" spans="1:4" ht="15.75" customHeight="1" x14ac:dyDescent="0.2"/>
    <row r="48" spans="1:4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</sheetData>
  <mergeCells count="27">
    <mergeCell ref="A1:D1"/>
    <mergeCell ref="A21:C21"/>
    <mergeCell ref="A3:C3"/>
    <mergeCell ref="A22:D23"/>
    <mergeCell ref="A8:C8"/>
    <mergeCell ref="A4:C4"/>
    <mergeCell ref="A5:C5"/>
    <mergeCell ref="A6:C6"/>
    <mergeCell ref="A7:C7"/>
    <mergeCell ref="A17:D17"/>
    <mergeCell ref="A18:D20"/>
    <mergeCell ref="A15:C15"/>
    <mergeCell ref="A16:C16"/>
    <mergeCell ref="A9:C9"/>
    <mergeCell ref="A12:C12"/>
    <mergeCell ref="A10:C10"/>
    <mergeCell ref="A11:C11"/>
    <mergeCell ref="A13:C13"/>
    <mergeCell ref="A14:C14"/>
    <mergeCell ref="A31:D31"/>
    <mergeCell ref="A32:D32"/>
    <mergeCell ref="A33:D33"/>
    <mergeCell ref="A24:D24"/>
    <mergeCell ref="A25:D25"/>
    <mergeCell ref="A26:D26"/>
    <mergeCell ref="A27:D28"/>
    <mergeCell ref="A29:D30"/>
  </mergeCells>
  <pageMargins left="0.25" right="0.25" top="1.2166666666666666" bottom="0.75" header="0.3" footer="0.3"/>
  <pageSetup paperSize="9" scale="80" orientation="portrait" r:id="rId1"/>
  <headerFooter>
    <oddHeader>&amp;C&amp;G</oddHeader>
    <oddFooter>&amp;CRua Antenor Mamedes, nº 911, Fone/Fax (65) 3261-1736
CEP: 78.260-000 – Araputanga – Mato Grosso
e-mail: engenharia@araputanga.mt.gov.br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18</vt:i4>
      </vt:variant>
      <vt:variant>
        <vt:lpstr>Intervalos nomeados</vt:lpstr>
      </vt:variant>
      <vt:variant>
        <vt:i4>8</vt:i4>
      </vt:variant>
    </vt:vector>
  </HeadingPairs>
  <TitlesOfParts>
    <vt:vector size="26" baseType="lpstr">
      <vt:lpstr>DESCRIÇÃO</vt:lpstr>
      <vt:lpstr>DESCRIÇÃO DE ORÇAMENTO</vt:lpstr>
      <vt:lpstr>PLANILHA</vt:lpstr>
      <vt:lpstr>PLANILHA ORÇAMENTÁRIA</vt:lpstr>
      <vt:lpstr>COMPOSIÇÕES</vt:lpstr>
      <vt:lpstr>CRONOGRAMA</vt:lpstr>
      <vt:lpstr>MEM. CÁLCULO</vt:lpstr>
      <vt:lpstr>COMPOSIÇÕES E COTAÇÕES</vt:lpstr>
      <vt:lpstr>CAL VOL. REDE COL.</vt:lpstr>
      <vt:lpstr>CÁLCULO DE VOL E ESC REDE PRIN.</vt:lpstr>
      <vt:lpstr>CALC. DIMEN.</vt:lpstr>
      <vt:lpstr>CAL VERIFICAÇÕES</vt:lpstr>
      <vt:lpstr>CALC. VOL PV</vt:lpstr>
      <vt:lpstr>CALC. VOL BL</vt:lpstr>
      <vt:lpstr>CALC. TRANSPORTES</vt:lpstr>
      <vt:lpstr>CALC. TRANSPORTES (2)</vt:lpstr>
      <vt:lpstr>CRONOGRAMA FF</vt:lpstr>
      <vt:lpstr>BDI</vt:lpstr>
      <vt:lpstr>'CAL VERIFICAÇÕES'!Area_de_impressao</vt:lpstr>
      <vt:lpstr>'CALC. DIMEN.'!Area_de_impressao</vt:lpstr>
      <vt:lpstr>'COMPOSIÇÕES E COTAÇÕES'!Area_de_impressao</vt:lpstr>
      <vt:lpstr>'CRONOGRAMA FF'!Area_de_impressao</vt:lpstr>
      <vt:lpstr>'DESCRIÇÃO DE ORÇAMENTO'!Area_de_impressao</vt:lpstr>
      <vt:lpstr>'MEM. CÁLCULO'!Area_de_impressao</vt:lpstr>
      <vt:lpstr>'PLANILHA ORÇAMENTÁRIA'!Area_de_impressao</vt:lpstr>
      <vt:lpstr>'PLANILHA ORÇAMENTÁRIA'!Titulos_de_impressao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gustavo</dc:creator>
  <cp:lastModifiedBy>adm-2023</cp:lastModifiedBy>
  <cp:lastPrinted>2026-09-15T11:17:56Z</cp:lastPrinted>
  <dcterms:created xsi:type="dcterms:W3CDTF">2014-05-21T12:48:41Z</dcterms:created>
  <dcterms:modified xsi:type="dcterms:W3CDTF">2026-09-15T11:21:01Z</dcterms:modified>
</cp:coreProperties>
</file>